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enst16\Desktop\単抜き\"/>
    </mc:Choice>
  </mc:AlternateContent>
  <bookViews>
    <workbookView xWindow="-120" yWindow="-120" windowWidth="29040" windowHeight="15840" activeTab="7"/>
  </bookViews>
  <sheets>
    <sheet name="数量総括表（土木工事）" sheetId="3" r:id="rId1"/>
    <sheet name="★計画GL+路床" sheetId="14" r:id="rId2"/>
    <sheet name="★作業土工" sheetId="15" r:id="rId3"/>
    <sheet name="★排水構造物調書" sheetId="6" r:id="rId4"/>
    <sheet name="★ｲﾝﾊﾞｰﾄ計算書" sheetId="11" r:id="rId5"/>
    <sheet name="★桝調書" sheetId="10" r:id="rId6"/>
    <sheet name="★ベンチ基礎工" sheetId="12" r:id="rId7"/>
    <sheet name="★階段" sheetId="13" r:id="rId8"/>
  </sheets>
  <definedNames>
    <definedName name="_xlnm.Print_Area" localSheetId="6">★ベンチ基礎工!$B$1:$J$61</definedName>
    <definedName name="_xlnm.Print_Area" localSheetId="7">★階段!$A$2:$I$42</definedName>
    <definedName name="_xlnm.Print_Area" localSheetId="1">'★計画GL+路床'!$A$1:$M$24</definedName>
    <definedName name="_xlnm.Print_Area" localSheetId="2">★作業土工!$A$1:$G$42</definedName>
    <definedName name="_xlnm.Print_Area" localSheetId="3">★排水構造物調書!$A$1:$I$49</definedName>
    <definedName name="_xlnm.Print_Area" localSheetId="5">★桝調書!$B$1:$AC$44</definedName>
    <definedName name="_xlnm.Print_Area" localSheetId="0">'数量総括表（土木工事）'!$A$2:$I$114</definedName>
    <definedName name="_xlnm.Print_Titles" localSheetId="0">'数量総括表（土木工事）'!$2:$5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5" l="1"/>
  <c r="D8" i="15"/>
  <c r="E38" i="6"/>
  <c r="H7" i="6"/>
  <c r="E7" i="6"/>
  <c r="E26" i="6" l="1"/>
  <c r="F8" i="15"/>
  <c r="G37" i="13"/>
  <c r="J56" i="12"/>
  <c r="B31" i="3"/>
  <c r="E31" i="3"/>
  <c r="F42" i="15"/>
  <c r="F5" i="15"/>
  <c r="F6" i="15"/>
  <c r="F4" i="15"/>
  <c r="AB17" i="10"/>
  <c r="H38" i="6"/>
  <c r="G23" i="14" l="1"/>
  <c r="E22" i="3"/>
  <c r="B22" i="3" s="1"/>
  <c r="E21" i="3"/>
  <c r="B21" i="3" s="1"/>
  <c r="E18" i="3"/>
  <c r="B18" i="3" s="1"/>
  <c r="I23" i="14"/>
  <c r="H23" i="14"/>
  <c r="I22" i="14"/>
  <c r="H22" i="14"/>
  <c r="G22" i="14"/>
  <c r="B84" i="3"/>
  <c r="B83" i="3"/>
  <c r="E74" i="3"/>
  <c r="B74" i="3" s="1"/>
  <c r="E73" i="3"/>
  <c r="B73" i="3" s="1"/>
  <c r="E64" i="3"/>
  <c r="B64" i="3" s="1"/>
  <c r="E65" i="3"/>
  <c r="B65" i="3" s="1"/>
  <c r="E66" i="3"/>
  <c r="B66" i="3" s="1"/>
  <c r="E67" i="3"/>
  <c r="B67" i="3" s="1"/>
  <c r="E68" i="3"/>
  <c r="B68" i="3" s="1"/>
  <c r="E69" i="3"/>
  <c r="B69" i="3" s="1"/>
  <c r="E70" i="3"/>
  <c r="B70" i="3" s="1"/>
  <c r="E71" i="3"/>
  <c r="B71" i="3" s="1"/>
  <c r="E72" i="3"/>
  <c r="B72" i="3" s="1"/>
  <c r="E63" i="3"/>
  <c r="B63" i="3" s="1"/>
  <c r="E59" i="3"/>
  <c r="B59" i="3" s="1"/>
  <c r="E51" i="3"/>
  <c r="B51" i="3" s="1"/>
  <c r="E30" i="3"/>
  <c r="B30" i="3" s="1"/>
  <c r="E24" i="3"/>
  <c r="B24" i="3" s="1"/>
  <c r="G20" i="14"/>
  <c r="L20" i="14"/>
  <c r="E19" i="3" l="1"/>
  <c r="D27" i="15"/>
  <c r="F27" i="15" s="1"/>
  <c r="F41" i="15"/>
  <c r="F36" i="15"/>
  <c r="F31" i="15"/>
  <c r="F30" i="15"/>
  <c r="D5" i="15"/>
  <c r="D25" i="15"/>
  <c r="F25" i="15" s="1"/>
  <c r="D21" i="15"/>
  <c r="F21" i="15" s="1"/>
  <c r="D20" i="15"/>
  <c r="F20" i="15" s="1"/>
  <c r="F24" i="15"/>
  <c r="D28" i="15" l="1"/>
  <c r="F28" i="15" s="1"/>
  <c r="E20" i="3"/>
  <c r="B20" i="3" s="1"/>
  <c r="B19" i="3"/>
  <c r="D9" i="15"/>
  <c r="F9" i="15" s="1"/>
  <c r="G13" i="14" l="1"/>
  <c r="E13" i="14"/>
  <c r="G11" i="14"/>
  <c r="E11" i="14"/>
  <c r="G10" i="14"/>
  <c r="E10" i="14"/>
  <c r="L22" i="14"/>
  <c r="G9" i="14"/>
  <c r="E9" i="14"/>
  <c r="G8" i="14"/>
  <c r="E8" i="14"/>
  <c r="L21" i="14"/>
  <c r="G7" i="14"/>
  <c r="E7" i="14"/>
  <c r="G6" i="14"/>
  <c r="E6" i="14"/>
  <c r="G5" i="14"/>
  <c r="E5" i="14"/>
  <c r="G4" i="14"/>
  <c r="E4" i="14"/>
  <c r="L23" i="14" l="1"/>
  <c r="E15" i="3" s="1"/>
  <c r="B15" i="3" s="1"/>
  <c r="H20" i="14"/>
  <c r="I20" i="14" s="1"/>
  <c r="G14" i="14"/>
  <c r="E12" i="3" s="1"/>
  <c r="B12" i="3" s="1"/>
  <c r="E14" i="14"/>
  <c r="E9" i="3" s="1"/>
  <c r="E10" i="3" s="1"/>
  <c r="E11" i="3" s="1"/>
  <c r="B11" i="3" s="1"/>
  <c r="G28" i="13"/>
  <c r="G19" i="13"/>
  <c r="G18" i="13"/>
  <c r="G17" i="13"/>
  <c r="G8" i="13"/>
  <c r="G7" i="13"/>
  <c r="G21" i="13"/>
  <c r="G20" i="13"/>
  <c r="G23" i="13"/>
  <c r="D34" i="13"/>
  <c r="G34" i="13" s="1"/>
  <c r="G41" i="13" s="1"/>
  <c r="E82" i="3" s="1"/>
  <c r="B82" i="3" s="1"/>
  <c r="D31" i="13"/>
  <c r="G31" i="13" s="1"/>
  <c r="G38" i="13" s="1"/>
  <c r="E80" i="3" s="1"/>
  <c r="B80" i="3" s="1"/>
  <c r="D32" i="13"/>
  <c r="G32" i="13" s="1"/>
  <c r="G39" i="13" s="1"/>
  <c r="E81" i="3" s="1"/>
  <c r="B81" i="3" s="1"/>
  <c r="D28" i="13"/>
  <c r="G9" i="13"/>
  <c r="G10" i="13"/>
  <c r="G12" i="13"/>
  <c r="G6" i="13"/>
  <c r="E90" i="3"/>
  <c r="E94" i="3"/>
  <c r="E93" i="3"/>
  <c r="E92" i="3"/>
  <c r="E91" i="3"/>
  <c r="J60" i="12"/>
  <c r="J59" i="12"/>
  <c r="J54" i="12"/>
  <c r="J53" i="12"/>
  <c r="J17" i="12"/>
  <c r="G15" i="12"/>
  <c r="G31" i="12"/>
  <c r="G47" i="12"/>
  <c r="G46" i="12"/>
  <c r="G45" i="12"/>
  <c r="G43" i="12"/>
  <c r="G42" i="12"/>
  <c r="G26" i="12"/>
  <c r="G33" i="12"/>
  <c r="H33" i="12" s="1"/>
  <c r="J33" i="12" s="1"/>
  <c r="G32" i="12"/>
  <c r="H32" i="12" s="1"/>
  <c r="J32" i="12" s="1"/>
  <c r="G30" i="12"/>
  <c r="G29" i="12"/>
  <c r="G28" i="12"/>
  <c r="G27" i="12"/>
  <c r="G44" i="12"/>
  <c r="H26" i="12"/>
  <c r="J26" i="12" s="1"/>
  <c r="G48" i="12"/>
  <c r="H48" i="12" s="1"/>
  <c r="J48" i="12" s="1"/>
  <c r="G49" i="12"/>
  <c r="H49" i="12" s="1"/>
  <c r="J49" i="12" s="1"/>
  <c r="H42" i="12"/>
  <c r="J42" i="12" s="1"/>
  <c r="G13" i="12"/>
  <c r="I13" i="12" s="1"/>
  <c r="G14" i="12"/>
  <c r="G16" i="12"/>
  <c r="H16" i="12" s="1"/>
  <c r="J16" i="12" s="1"/>
  <c r="G17" i="12"/>
  <c r="H17" i="12" s="1"/>
  <c r="G12" i="12"/>
  <c r="G11" i="12"/>
  <c r="G10" i="12"/>
  <c r="H10" i="12" s="1"/>
  <c r="J10" i="12" s="1"/>
  <c r="E54" i="3"/>
  <c r="B54" i="3" s="1"/>
  <c r="AB18" i="10"/>
  <c r="E16" i="3" l="1"/>
  <c r="B16" i="3" s="1"/>
  <c r="B9" i="3"/>
  <c r="E13" i="3"/>
  <c r="B13" i="3" s="1"/>
  <c r="B10" i="3"/>
  <c r="E79" i="3"/>
  <c r="B79" i="3" s="1"/>
  <c r="H27" i="12"/>
  <c r="J27" i="12" s="1"/>
  <c r="I29" i="12"/>
  <c r="J29" i="12" s="1"/>
  <c r="H43" i="12"/>
  <c r="J43" i="12" s="1"/>
  <c r="I45" i="12"/>
  <c r="J45" i="12" s="1"/>
  <c r="J13" i="12"/>
  <c r="H11" i="12"/>
  <c r="J11" i="12" s="1"/>
  <c r="E17" i="3" l="1"/>
  <c r="B17" i="3" s="1"/>
  <c r="E52" i="11"/>
  <c r="H52" i="11" s="1"/>
  <c r="E53" i="11"/>
  <c r="H53" i="11" s="1"/>
  <c r="E54" i="11"/>
  <c r="H54" i="11"/>
  <c r="E55" i="11"/>
  <c r="H55" i="11" s="1"/>
  <c r="E56" i="11"/>
  <c r="H56" i="11" s="1"/>
  <c r="E42" i="11"/>
  <c r="H42" i="11" s="1"/>
  <c r="E43" i="11"/>
  <c r="H43" i="11" s="1"/>
  <c r="E44" i="11"/>
  <c r="H44" i="11" s="1"/>
  <c r="E45" i="11"/>
  <c r="H45" i="11" s="1"/>
  <c r="E46" i="11"/>
  <c r="H46" i="11" s="1"/>
  <c r="E47" i="11"/>
  <c r="H47" i="11" s="1"/>
  <c r="E48" i="11"/>
  <c r="H48" i="11" s="1"/>
  <c r="E49" i="11"/>
  <c r="H49" i="11" s="1"/>
  <c r="E50" i="11"/>
  <c r="H50" i="11" s="1"/>
  <c r="E51" i="11"/>
  <c r="H51" i="11" s="1"/>
  <c r="E41" i="11"/>
  <c r="H41" i="11" s="1"/>
  <c r="E40" i="11"/>
  <c r="H40" i="11" s="1"/>
  <c r="E34" i="11"/>
  <c r="H34" i="11" s="1"/>
  <c r="E35" i="11"/>
  <c r="H35" i="11"/>
  <c r="E36" i="11"/>
  <c r="H36" i="11" s="1"/>
  <c r="E37" i="11"/>
  <c r="H37" i="11" s="1"/>
  <c r="E38" i="11"/>
  <c r="H38" i="11" s="1"/>
  <c r="E39" i="11"/>
  <c r="H39" i="11"/>
  <c r="E33" i="11"/>
  <c r="H33" i="11" s="1"/>
  <c r="E32" i="11"/>
  <c r="H32" i="11" s="1"/>
  <c r="E27" i="11"/>
  <c r="H27" i="11" s="1"/>
  <c r="E28" i="11"/>
  <c r="H28" i="11" s="1"/>
  <c r="E18" i="11"/>
  <c r="H18" i="11" s="1"/>
  <c r="E19" i="11"/>
  <c r="H19" i="11" s="1"/>
  <c r="E20" i="11"/>
  <c r="H20" i="11" s="1"/>
  <c r="E21" i="11"/>
  <c r="H21" i="11" s="1"/>
  <c r="E22" i="11"/>
  <c r="H22" i="11" s="1"/>
  <c r="E23" i="11"/>
  <c r="H23" i="11" s="1"/>
  <c r="E17" i="11"/>
  <c r="H17" i="11" s="1"/>
  <c r="E16" i="11"/>
  <c r="H16" i="11" s="1"/>
  <c r="E12" i="11"/>
  <c r="H12" i="11" s="1"/>
  <c r="E11" i="11"/>
  <c r="H11" i="11" s="1"/>
  <c r="E7" i="11"/>
  <c r="H7" i="11" s="1"/>
  <c r="E5" i="11"/>
  <c r="H5" i="11" s="1"/>
  <c r="E6" i="11"/>
  <c r="H6" i="11" s="1"/>
  <c r="E8" i="11"/>
  <c r="H8" i="11" s="1"/>
  <c r="E9" i="11"/>
  <c r="H9" i="11" s="1"/>
  <c r="E10" i="11"/>
  <c r="H10" i="11" s="1"/>
  <c r="E4" i="11"/>
  <c r="H4" i="11" s="1"/>
  <c r="H58" i="11" l="1"/>
  <c r="E9" i="6" l="1"/>
  <c r="E42" i="3" s="1"/>
  <c r="B42" i="3" s="1"/>
  <c r="E11" i="6"/>
  <c r="E44" i="3" s="1"/>
  <c r="B44" i="3" s="1"/>
  <c r="O25" i="10"/>
  <c r="P25" i="10" s="1"/>
  <c r="I25" i="10" s="1"/>
  <c r="O5" i="10" l="1"/>
  <c r="P5" i="10" s="1"/>
  <c r="I5" i="10" s="1"/>
  <c r="O6" i="10"/>
  <c r="P6" i="10" s="1"/>
  <c r="I6" i="10" s="1"/>
  <c r="O7" i="10"/>
  <c r="P7" i="10" s="1"/>
  <c r="I7" i="10" s="1"/>
  <c r="O8" i="10"/>
  <c r="P8" i="10" s="1"/>
  <c r="I8" i="10" s="1"/>
  <c r="O9" i="10"/>
  <c r="P9" i="10" s="1"/>
  <c r="I9" i="10" s="1"/>
  <c r="O10" i="10"/>
  <c r="P10" i="10" s="1"/>
  <c r="I10" i="10" s="1"/>
  <c r="O13" i="10"/>
  <c r="P13" i="10" s="1"/>
  <c r="I13" i="10" s="1"/>
  <c r="O14" i="10"/>
  <c r="P14" i="10" s="1"/>
  <c r="I14" i="10" s="1"/>
  <c r="O15" i="10"/>
  <c r="P15" i="10" s="1"/>
  <c r="I15" i="10" s="1"/>
  <c r="O16" i="10"/>
  <c r="P16" i="10" s="1"/>
  <c r="I16" i="10" s="1"/>
  <c r="O17" i="10"/>
  <c r="P17" i="10" s="1"/>
  <c r="I17" i="10" s="1"/>
  <c r="O18" i="10"/>
  <c r="P18" i="10" s="1"/>
  <c r="I18" i="10" s="1"/>
  <c r="O19" i="10"/>
  <c r="P19" i="10" s="1"/>
  <c r="I19" i="10" s="1"/>
  <c r="O20" i="10"/>
  <c r="P20" i="10" s="1"/>
  <c r="I20" i="10" s="1"/>
  <c r="O21" i="10"/>
  <c r="P21" i="10" s="1"/>
  <c r="I21" i="10" s="1"/>
  <c r="O22" i="10"/>
  <c r="P22" i="10" s="1"/>
  <c r="I22" i="10" s="1"/>
  <c r="O23" i="10"/>
  <c r="P23" i="10" s="1"/>
  <c r="I23" i="10" s="1"/>
  <c r="O24" i="10"/>
  <c r="P24" i="10" s="1"/>
  <c r="I24" i="10" s="1"/>
  <c r="O26" i="10"/>
  <c r="P26" i="10" s="1"/>
  <c r="I26" i="10" s="1"/>
  <c r="O27" i="10"/>
  <c r="P27" i="10" s="1"/>
  <c r="I27" i="10" s="1"/>
  <c r="O28" i="10"/>
  <c r="P28" i="10" s="1"/>
  <c r="I28" i="10" s="1"/>
  <c r="O29" i="10"/>
  <c r="P29" i="10" s="1"/>
  <c r="I29" i="10" s="1"/>
  <c r="O30" i="10"/>
  <c r="P30" i="10" s="1"/>
  <c r="I30" i="10" s="1"/>
  <c r="O31" i="10"/>
  <c r="P31" i="10" s="1"/>
  <c r="I31" i="10" s="1"/>
  <c r="O32" i="10"/>
  <c r="P32" i="10" s="1"/>
  <c r="I32" i="10" s="1"/>
  <c r="O33" i="10"/>
  <c r="P33" i="10" s="1"/>
  <c r="I33" i="10" s="1"/>
  <c r="O34" i="10"/>
  <c r="P34" i="10" s="1"/>
  <c r="I34" i="10" s="1"/>
  <c r="O35" i="10"/>
  <c r="P35" i="10" s="1"/>
  <c r="I35" i="10" s="1"/>
  <c r="O36" i="10"/>
  <c r="P36" i="10" s="1"/>
  <c r="I36" i="10" s="1"/>
  <c r="O37" i="10"/>
  <c r="P37" i="10" s="1"/>
  <c r="I37" i="10" s="1"/>
  <c r="O38" i="10"/>
  <c r="P38" i="10" s="1"/>
  <c r="I38" i="10" s="1"/>
  <c r="O39" i="10"/>
  <c r="P39" i="10" s="1"/>
  <c r="I39" i="10" s="1"/>
  <c r="O41" i="10"/>
  <c r="P41" i="10" s="1"/>
  <c r="I41" i="10" s="1"/>
  <c r="O42" i="10"/>
  <c r="P42" i="10" s="1"/>
  <c r="I42" i="10" s="1"/>
  <c r="O43" i="10"/>
  <c r="P43" i="10" s="1"/>
  <c r="I43" i="10" s="1"/>
  <c r="O4" i="10"/>
  <c r="P4" i="10" s="1"/>
  <c r="I4" i="10" s="1"/>
  <c r="AB19" i="10"/>
  <c r="E31" i="6"/>
  <c r="E37" i="3" s="1"/>
  <c r="B37" i="3" s="1"/>
  <c r="E29" i="6"/>
  <c r="H29" i="6" s="1"/>
  <c r="H19" i="6"/>
  <c r="H31" i="6" l="1"/>
  <c r="E38" i="3"/>
  <c r="B38" i="3" s="1"/>
  <c r="E30" i="6"/>
  <c r="E36" i="3" s="1"/>
  <c r="B36" i="3" s="1"/>
  <c r="E35" i="3"/>
  <c r="B35" i="3" s="1"/>
  <c r="E35" i="6"/>
  <c r="D11" i="15" s="1"/>
  <c r="H34" i="6"/>
  <c r="AB8" i="10"/>
  <c r="AB9" i="10"/>
  <c r="AB10" i="10"/>
  <c r="AB7" i="10"/>
  <c r="AB13" i="10"/>
  <c r="AB11" i="10"/>
  <c r="AB12" i="10"/>
  <c r="D12" i="15" l="1"/>
  <c r="F12" i="15" s="1"/>
  <c r="F11" i="15"/>
  <c r="AD7" i="10"/>
  <c r="AD12" i="10"/>
  <c r="AD11" i="10"/>
  <c r="AD8" i="10"/>
  <c r="AD13" i="10"/>
  <c r="AB6" i="10"/>
  <c r="AD10" i="10"/>
  <c r="AD9" i="10"/>
  <c r="AB4" i="10"/>
  <c r="AB5" i="10"/>
  <c r="AD5" i="10" l="1"/>
  <c r="AD6" i="10"/>
  <c r="AD4" i="10"/>
  <c r="E45" i="6"/>
  <c r="E44" i="6"/>
  <c r="H39" i="6"/>
  <c r="E37" i="6"/>
  <c r="E42" i="6" s="1"/>
  <c r="E20" i="6"/>
  <c r="E18" i="6"/>
  <c r="E12" i="6"/>
  <c r="E14" i="6"/>
  <c r="E13" i="6"/>
  <c r="H11" i="6"/>
  <c r="E10" i="6"/>
  <c r="H9" i="6"/>
  <c r="E8" i="6"/>
  <c r="E6" i="6"/>
  <c r="E39" i="3" s="1"/>
  <c r="B39" i="3" s="1"/>
  <c r="H45" i="6" l="1"/>
  <c r="E61" i="3"/>
  <c r="B61" i="3" s="1"/>
  <c r="H10" i="6"/>
  <c r="E43" i="3"/>
  <c r="B43" i="3" s="1"/>
  <c r="H20" i="6"/>
  <c r="E52" i="3"/>
  <c r="B52" i="3" s="1"/>
  <c r="E57" i="3"/>
  <c r="B57" i="3" s="1"/>
  <c r="D14" i="15"/>
  <c r="H13" i="6"/>
  <c r="E46" i="3"/>
  <c r="B46" i="3" s="1"/>
  <c r="E58" i="3"/>
  <c r="B58" i="3" s="1"/>
  <c r="H18" i="6"/>
  <c r="E50" i="3"/>
  <c r="B50" i="3" s="1"/>
  <c r="E21" i="6"/>
  <c r="E53" i="3" s="1"/>
  <c r="B53" i="3" s="1"/>
  <c r="E40" i="3"/>
  <c r="B40" i="3" s="1"/>
  <c r="H14" i="6"/>
  <c r="E47" i="3"/>
  <c r="B47" i="3" s="1"/>
  <c r="E41" i="3"/>
  <c r="B41" i="3" s="1"/>
  <c r="H8" i="6"/>
  <c r="H12" i="6"/>
  <c r="E45" i="3"/>
  <c r="B45" i="3" s="1"/>
  <c r="H44" i="6"/>
  <c r="H47" i="6" s="1"/>
  <c r="E60" i="3"/>
  <c r="B60" i="3" s="1"/>
  <c r="E48" i="6"/>
  <c r="D17" i="15" s="1"/>
  <c r="AD15" i="10"/>
  <c r="H37" i="6"/>
  <c r="E24" i="6"/>
  <c r="H6" i="6"/>
  <c r="E16" i="6"/>
  <c r="E49" i="3" s="1"/>
  <c r="B49" i="3" s="1"/>
  <c r="E15" i="6"/>
  <c r="E48" i="3" s="1"/>
  <c r="B48" i="3" s="1"/>
  <c r="H23" i="6" l="1"/>
  <c r="H41" i="6"/>
  <c r="F17" i="15"/>
  <c r="D18" i="15"/>
  <c r="F18" i="15" s="1"/>
  <c r="F14" i="15"/>
  <c r="D15" i="15"/>
  <c r="F15" i="15" s="1"/>
  <c r="E28" i="3" l="1"/>
  <c r="F40" i="15"/>
  <c r="E29" i="3" s="1"/>
  <c r="B29" i="3" s="1"/>
  <c r="E32" i="3" l="1"/>
  <c r="B32" i="3" s="1"/>
  <c r="B28" i="3"/>
  <c r="E33" i="3" l="1"/>
  <c r="B33" i="3" s="1"/>
  <c r="B111" i="3" l="1"/>
  <c r="E113" i="3"/>
  <c r="B113" i="3" s="1"/>
  <c r="E114" i="3" l="1"/>
  <c r="B114" i="3" s="1"/>
</calcChain>
</file>

<file path=xl/sharedStrings.xml><?xml version="1.0" encoding="utf-8"?>
<sst xmlns="http://schemas.openxmlformats.org/spreadsheetml/2006/main" count="1194" uniqueCount="471">
  <si>
    <t>m</t>
    <phoneticPr fontId="1"/>
  </si>
  <si>
    <t>m2</t>
    <phoneticPr fontId="1"/>
  </si>
  <si>
    <t xml:space="preserve">数　量　総　括　表    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4"/>
  </si>
  <si>
    <t>名　称</t>
    <phoneticPr fontId="4"/>
  </si>
  <si>
    <t>数量</t>
  </si>
  <si>
    <t>計  算  式</t>
  </si>
  <si>
    <t>m3</t>
    <phoneticPr fontId="1"/>
  </si>
  <si>
    <t>m3</t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</si>
  <si>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</si>
  <si>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　運搬費</t>
    <rPh sb="1" eb="3">
      <t>ウンパン</t>
    </rPh>
    <rPh sb="3" eb="4">
      <t>ヒ</t>
    </rPh>
    <phoneticPr fontId="4"/>
  </si>
  <si>
    <t>　　仮設材運搬費</t>
    <rPh sb="2" eb="4">
      <t>カセツ</t>
    </rPh>
    <rPh sb="4" eb="5">
      <t>ザイ</t>
    </rPh>
    <rPh sb="5" eb="7">
      <t>ウンパン</t>
    </rPh>
    <rPh sb="7" eb="8">
      <t>ヒ</t>
    </rPh>
    <phoneticPr fontId="4"/>
  </si>
  <si>
    <t>　　仮設材等の積込み取卸し</t>
    <rPh sb="2" eb="4">
      <t>カセツ</t>
    </rPh>
    <rPh sb="4" eb="5">
      <t>ザイ</t>
    </rPh>
    <rPh sb="5" eb="6">
      <t>トウ</t>
    </rPh>
    <rPh sb="7" eb="9">
      <t>ツミコ</t>
    </rPh>
    <rPh sb="10" eb="11">
      <t>ト</t>
    </rPh>
    <rPh sb="11" eb="12">
      <t>オロ</t>
    </rPh>
    <phoneticPr fontId="4"/>
  </si>
  <si>
    <t xml:space="preserve">       仮設材賃料</t>
    <rPh sb="7" eb="9">
      <t>カセツ</t>
    </rPh>
    <rPh sb="9" eb="10">
      <t>ザイ</t>
    </rPh>
    <rPh sb="10" eb="12">
      <t>チンリョウ</t>
    </rPh>
    <phoneticPr fontId="4"/>
  </si>
  <si>
    <t>　土留め工</t>
    <rPh sb="1" eb="3">
      <t>ドド</t>
    </rPh>
    <rPh sb="4" eb="5">
      <t>コウ</t>
    </rPh>
    <phoneticPr fontId="4"/>
  </si>
  <si>
    <t>※別紙にて賃料算定</t>
    <rPh sb="1" eb="3">
      <t>ベッシ</t>
    </rPh>
    <rPh sb="5" eb="7">
      <t>チンリョウ</t>
    </rPh>
    <rPh sb="7" eb="9">
      <t>サンテイ</t>
    </rPh>
    <phoneticPr fontId="4"/>
  </si>
  <si>
    <t>　　軽量鋼矢板建込,引抜工
 　　H≦2.0m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4"/>
  </si>
  <si>
    <t>　　軽量鋼矢板建込,引抜工
 　　H≦2.5m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4"/>
  </si>
  <si>
    <t>　舗装工</t>
    <rPh sb="1" eb="3">
      <t>ホソウ</t>
    </rPh>
    <rPh sb="3" eb="4">
      <t>コウ</t>
    </rPh>
    <phoneticPr fontId="4"/>
  </si>
  <si>
    <t>　　上層路盤(M-40) t=10cm</t>
    <rPh sb="2" eb="3">
      <t>ウエ</t>
    </rPh>
    <rPh sb="3" eb="4">
      <t>ソウ</t>
    </rPh>
    <rPh sb="4" eb="6">
      <t>ロバン</t>
    </rPh>
    <phoneticPr fontId="1"/>
  </si>
  <si>
    <t>　　下層路盤(ARC-40) t=15cm</t>
    <rPh sb="2" eb="6">
      <t>カソウロバン</t>
    </rPh>
    <phoneticPr fontId="4"/>
  </si>
  <si>
    <t>　　表層(⑤As) t=5cm</t>
    <rPh sb="2" eb="4">
      <t>ヒョウソウ</t>
    </rPh>
    <phoneticPr fontId="1"/>
  </si>
  <si>
    <r>
      <t>縦断図より
41.2÷2=20.6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"/>
        <rFont val="游ゴシック"/>
        <family val="3"/>
        <charset val="128"/>
        <scheme val="minor"/>
      </rPr>
      <t>)÷</t>
    </r>
    <r>
      <rPr>
        <sz val="10.5"/>
        <rFont val="游ゴシック"/>
        <family val="3"/>
        <charset val="128"/>
        <scheme val="minor"/>
      </rPr>
      <t>2</t>
    </r>
    <rPh sb="0" eb="2">
      <t>ジュウダン</t>
    </rPh>
    <rPh sb="2" eb="3">
      <t>ズ</t>
    </rPh>
    <rPh sb="19" eb="21">
      <t>カタガワ</t>
    </rPh>
    <rPh sb="26" eb="28">
      <t>セコウ</t>
    </rPh>
    <rPh sb="28" eb="30">
      <t>エンチョウ</t>
    </rPh>
    <phoneticPr fontId="1"/>
  </si>
  <si>
    <r>
      <t>縦断図より
14.5÷2=7.25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.5"/>
        <rFont val="游ゴシック"/>
        <family val="3"/>
        <charset val="128"/>
        <scheme val="minor"/>
      </rPr>
      <t>)÷2</t>
    </r>
    <rPh sb="0" eb="2">
      <t>ジュウダン</t>
    </rPh>
    <rPh sb="2" eb="3">
      <t>ズ</t>
    </rPh>
    <rPh sb="19" eb="21">
      <t>カタガワ</t>
    </rPh>
    <phoneticPr fontId="1"/>
  </si>
  <si>
    <t>縦断図より
41.2</t>
    <rPh sb="0" eb="2">
      <t>ジュウダン</t>
    </rPh>
    <rPh sb="2" eb="3">
      <t>ズ</t>
    </rPh>
    <phoneticPr fontId="1"/>
  </si>
  <si>
    <t>　　土留め支保工　1段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</si>
  <si>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2段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</si>
  <si>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1段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</si>
  <si>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　　土留め支保工　2段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</si>
  <si>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縦断図より
14.5</t>
    <rPh sb="0" eb="2">
      <t>ジュウダン</t>
    </rPh>
    <rPh sb="2" eb="3">
      <t>ズ</t>
    </rPh>
    <phoneticPr fontId="1"/>
  </si>
  <si>
    <t>平面図より
30.0</t>
    <rPh sb="0" eb="3">
      <t>ヘイメンズ</t>
    </rPh>
    <phoneticPr fontId="1"/>
  </si>
  <si>
    <t>〃</t>
    <phoneticPr fontId="1"/>
  </si>
  <si>
    <t>賃料計算書より
(3.52+0.44)×2=7.92</t>
    <rPh sb="0" eb="2">
      <t>チンリョウ</t>
    </rPh>
    <rPh sb="2" eb="5">
      <t>ケイサンショ</t>
    </rPh>
    <phoneticPr fontId="4"/>
  </si>
  <si>
    <t>賃料計算書より
3.96</t>
    <rPh sb="0" eb="2">
      <t>チンリョウ</t>
    </rPh>
    <rPh sb="2" eb="5">
      <t>ケイサンショ</t>
    </rPh>
    <phoneticPr fontId="4"/>
  </si>
  <si>
    <t>W=</t>
    <phoneticPr fontId="1"/>
  </si>
  <si>
    <t>A=</t>
    <phoneticPr fontId="1"/>
  </si>
  <si>
    <t>合計</t>
    <rPh sb="0" eb="2">
      <t>ゴウケイ</t>
    </rPh>
    <phoneticPr fontId="1"/>
  </si>
  <si>
    <t xml:space="preserve">       取り壊し(有筋)</t>
    <rPh sb="7" eb="8">
      <t>ト</t>
    </rPh>
    <rPh sb="9" eb="10">
      <t>コワ</t>
    </rPh>
    <rPh sb="12" eb="13">
      <t>アリ</t>
    </rPh>
    <rPh sb="13" eb="14">
      <t>スジ</t>
    </rPh>
    <phoneticPr fontId="1"/>
  </si>
  <si>
    <t>　　Co殻運搬</t>
    <rPh sb="4" eb="5">
      <t>ガラ</t>
    </rPh>
    <rPh sb="5" eb="7">
      <t>ウンパン</t>
    </rPh>
    <phoneticPr fontId="1"/>
  </si>
  <si>
    <t xml:space="preserve">       Co殻処分</t>
    <rPh sb="9" eb="10">
      <t>ガラ</t>
    </rPh>
    <rPh sb="10" eb="12">
      <t>ショブン</t>
    </rPh>
    <phoneticPr fontId="1"/>
  </si>
  <si>
    <t xml:space="preserve">    &lt;ｺﾝｸﾘｰﾄ&gt;</t>
    <phoneticPr fontId="1"/>
  </si>
  <si>
    <t>ｍ３</t>
    <phoneticPr fontId="1"/>
  </si>
  <si>
    <t>ｔ</t>
    <phoneticPr fontId="1"/>
  </si>
  <si>
    <t>ｍ</t>
    <phoneticPr fontId="1"/>
  </si>
  <si>
    <t>V=</t>
    <phoneticPr fontId="1"/>
  </si>
  <si>
    <t xml:space="preserve">Co殻運搬×2.5
</t>
    <rPh sb="2" eb="3">
      <t>ガラ</t>
    </rPh>
    <rPh sb="3" eb="5">
      <t>ウンパン</t>
    </rPh>
    <phoneticPr fontId="4"/>
  </si>
  <si>
    <t>構造物撤去平面図より</t>
    <phoneticPr fontId="1"/>
  </si>
  <si>
    <t>-</t>
    <phoneticPr fontId="1"/>
  </si>
  <si>
    <t>当初設計</t>
    <rPh sb="0" eb="2">
      <t>トウショ</t>
    </rPh>
    <rPh sb="2" eb="4">
      <t>セッケイ</t>
    </rPh>
    <phoneticPr fontId="1"/>
  </si>
  <si>
    <t>変更設計</t>
    <rPh sb="0" eb="2">
      <t>ヘンコウ</t>
    </rPh>
    <rPh sb="2" eb="4">
      <t>セッケイ</t>
    </rPh>
    <phoneticPr fontId="4"/>
  </si>
  <si>
    <t>　外構土工</t>
    <rPh sb="1" eb="3">
      <t>ガイコウ</t>
    </rPh>
    <rPh sb="3" eb="4">
      <t>ツチ</t>
    </rPh>
    <rPh sb="4" eb="5">
      <t>コウ</t>
    </rPh>
    <phoneticPr fontId="4"/>
  </si>
  <si>
    <t>　排水構造物工</t>
    <rPh sb="1" eb="3">
      <t>ハイスイ</t>
    </rPh>
    <rPh sb="3" eb="6">
      <t>コウゾウブツ</t>
    </rPh>
    <rPh sb="6" eb="7">
      <t>コウ</t>
    </rPh>
    <phoneticPr fontId="4"/>
  </si>
  <si>
    <t>　　&lt;作業土工&gt;</t>
    <rPh sb="3" eb="5">
      <t>サギョウ</t>
    </rPh>
    <rPh sb="5" eb="6">
      <t>ツチ</t>
    </rPh>
    <rPh sb="6" eb="7">
      <t>コウ</t>
    </rPh>
    <phoneticPr fontId="1"/>
  </si>
  <si>
    <t>　　&lt;側溝工&gt;</t>
    <rPh sb="3" eb="5">
      <t>ソッコウ</t>
    </rPh>
    <rPh sb="5" eb="6">
      <t>コウ</t>
    </rPh>
    <phoneticPr fontId="1"/>
  </si>
  <si>
    <t>　　＜暗渠工＞</t>
    <rPh sb="3" eb="5">
      <t>アンキョ</t>
    </rPh>
    <rPh sb="5" eb="6">
      <t>コウ</t>
    </rPh>
    <phoneticPr fontId="1"/>
  </si>
  <si>
    <t>　　＜桝工＞</t>
    <rPh sb="3" eb="4">
      <t>マス</t>
    </rPh>
    <rPh sb="4" eb="5">
      <t>コウ</t>
    </rPh>
    <phoneticPr fontId="1"/>
  </si>
  <si>
    <t>　縁石工</t>
    <rPh sb="1" eb="3">
      <t>エンセキ</t>
    </rPh>
    <rPh sb="3" eb="4">
      <t>コウ</t>
    </rPh>
    <phoneticPr fontId="1"/>
  </si>
  <si>
    <t>　　＜Co階段工＞</t>
    <rPh sb="5" eb="7">
      <t>カイダン</t>
    </rPh>
    <rPh sb="7" eb="8">
      <t>コウ</t>
    </rPh>
    <phoneticPr fontId="1"/>
  </si>
  <si>
    <t>　植栽工</t>
    <rPh sb="1" eb="3">
      <t>ショクサイ</t>
    </rPh>
    <rPh sb="3" eb="4">
      <t>コウ</t>
    </rPh>
    <phoneticPr fontId="1"/>
  </si>
  <si>
    <t>　　＜ベンチ＞</t>
    <phoneticPr fontId="1"/>
  </si>
  <si>
    <t>　　＜高木植樹＞</t>
    <rPh sb="3" eb="5">
      <t>コウボク</t>
    </rPh>
    <rPh sb="5" eb="7">
      <t>ショクジュ</t>
    </rPh>
    <phoneticPr fontId="1"/>
  </si>
  <si>
    <t>　　＜張芝＞</t>
    <rPh sb="3" eb="5">
      <t>ハリシバ</t>
    </rPh>
    <phoneticPr fontId="1"/>
  </si>
  <si>
    <t>　　　張芝工（野芝)</t>
    <rPh sb="3" eb="5">
      <t>ハリシバ</t>
    </rPh>
    <rPh sb="5" eb="6">
      <t>コウ</t>
    </rPh>
    <rPh sb="7" eb="8">
      <t>ノ</t>
    </rPh>
    <rPh sb="8" eb="9">
      <t>シバ</t>
    </rPh>
    <phoneticPr fontId="1"/>
  </si>
  <si>
    <t>m2</t>
    <phoneticPr fontId="1"/>
  </si>
  <si>
    <t>m3</t>
    <phoneticPr fontId="1"/>
  </si>
  <si>
    <t>m</t>
    <phoneticPr fontId="1"/>
  </si>
  <si>
    <t>枚</t>
    <rPh sb="0" eb="1">
      <t>マイ</t>
    </rPh>
    <phoneticPr fontId="1"/>
  </si>
  <si>
    <t>本</t>
    <rPh sb="0" eb="1">
      <t>ホン</t>
    </rPh>
    <phoneticPr fontId="1"/>
  </si>
  <si>
    <t>外構工事</t>
    <rPh sb="0" eb="4">
      <t>ソトカマコウジ</t>
    </rPh>
    <phoneticPr fontId="1"/>
  </si>
  <si>
    <t>　　＜地先境界ﾌﾞﾛｯｸ＞</t>
    <rPh sb="3" eb="5">
      <t>チサキ</t>
    </rPh>
    <rPh sb="5" eb="7">
      <t>キョウカイ</t>
    </rPh>
    <phoneticPr fontId="1"/>
  </si>
  <si>
    <t xml:space="preserve">   　　基礎砕石 t=10cm</t>
    <rPh sb="5" eb="9">
      <t>キソサイセキ</t>
    </rPh>
    <phoneticPr fontId="1"/>
  </si>
  <si>
    <t>　　&lt;看板類&gt;</t>
    <rPh sb="3" eb="5">
      <t>カンバン</t>
    </rPh>
    <rPh sb="5" eb="6">
      <t>ルイ</t>
    </rPh>
    <phoneticPr fontId="1"/>
  </si>
  <si>
    <t>m3</t>
    <phoneticPr fontId="1"/>
  </si>
  <si>
    <t>　　＜路床（置き換え）＞</t>
    <rPh sb="3" eb="5">
      <t>ロショウ</t>
    </rPh>
    <rPh sb="6" eb="7">
      <t>オ</t>
    </rPh>
    <rPh sb="8" eb="9">
      <t>カ</t>
    </rPh>
    <phoneticPr fontId="1"/>
  </si>
  <si>
    <t>　　　掘削
             ※入替範囲については、受注後要精査</t>
    <rPh sb="3" eb="5">
      <t>クッサク</t>
    </rPh>
    <rPh sb="20" eb="22">
      <t>イレカエ</t>
    </rPh>
    <rPh sb="22" eb="24">
      <t>ハンイ</t>
    </rPh>
    <rPh sb="30" eb="33">
      <t>ジュチュウゴ</t>
    </rPh>
    <rPh sb="33" eb="34">
      <t>ヨウ</t>
    </rPh>
    <rPh sb="34" eb="36">
      <t>セイサ</t>
    </rPh>
    <phoneticPr fontId="1"/>
  </si>
  <si>
    <t>　　　路床盛土　　※埋める</t>
    <rPh sb="3" eb="5">
      <t>ロショウ</t>
    </rPh>
    <rPh sb="5" eb="7">
      <t>モリツチ</t>
    </rPh>
    <rPh sb="10" eb="11">
      <t>ウ</t>
    </rPh>
    <phoneticPr fontId="1"/>
  </si>
  <si>
    <t>　　　掘削</t>
    <rPh sb="3" eb="5">
      <t>クッサク</t>
    </rPh>
    <phoneticPr fontId="4"/>
  </si>
  <si>
    <t>ｍ</t>
    <phoneticPr fontId="1"/>
  </si>
  <si>
    <t>3.7+2.0</t>
    <phoneticPr fontId="1"/>
  </si>
  <si>
    <t>2.9+2.0+0.8</t>
    <phoneticPr fontId="1"/>
  </si>
  <si>
    <t>5.5+6.6+5.9</t>
    <phoneticPr fontId="1"/>
  </si>
  <si>
    <t>5.5+6.2</t>
    <phoneticPr fontId="1"/>
  </si>
  <si>
    <t>4.5+10.8</t>
    <phoneticPr fontId="1"/>
  </si>
  <si>
    <t>12.2+5.45</t>
    <phoneticPr fontId="1"/>
  </si>
  <si>
    <t>5.4+5.1</t>
    <phoneticPr fontId="1"/>
  </si>
  <si>
    <t>5.85+4.85</t>
    <phoneticPr fontId="1"/>
  </si>
  <si>
    <t>m</t>
    <phoneticPr fontId="1"/>
  </si>
  <si>
    <t>0.85+0.4+4.9+0.4</t>
    <phoneticPr fontId="1"/>
  </si>
  <si>
    <t>32.4×0.5</t>
    <phoneticPr fontId="1"/>
  </si>
  <si>
    <t>　　　路床土（山砂 10tDt）</t>
    <rPh sb="3" eb="5">
      <t>ロショウ</t>
    </rPh>
    <rPh sb="5" eb="6">
      <t>ツチ</t>
    </rPh>
    <rPh sb="7" eb="9">
      <t>ヤマスナ</t>
    </rPh>
    <phoneticPr fontId="1"/>
  </si>
  <si>
    <t>ΣL</t>
    <phoneticPr fontId="1"/>
  </si>
  <si>
    <t>名称</t>
    <rPh sb="0" eb="2">
      <t>メイショウ</t>
    </rPh>
    <phoneticPr fontId="1"/>
  </si>
  <si>
    <t>VS 300×300</t>
    <phoneticPr fontId="1"/>
  </si>
  <si>
    <t>算式</t>
    <rPh sb="0" eb="2">
      <t>サンシキ</t>
    </rPh>
    <phoneticPr fontId="1"/>
  </si>
  <si>
    <t>数量</t>
    <rPh sb="0" eb="2">
      <t>スウリョウ</t>
    </rPh>
    <phoneticPr fontId="1"/>
  </si>
  <si>
    <t>VS 300×400</t>
    <phoneticPr fontId="1"/>
  </si>
  <si>
    <t>3.5+4.9+26.75+8.7+4.15+18.9+4.0+8.8+5.15+5.3</t>
    <phoneticPr fontId="1"/>
  </si>
  <si>
    <t>VS 300×500</t>
    <phoneticPr fontId="1"/>
  </si>
  <si>
    <t>VS 300×600</t>
    <phoneticPr fontId="1"/>
  </si>
  <si>
    <t>VS 300×700</t>
    <phoneticPr fontId="1"/>
  </si>
  <si>
    <t>VS 300×800</t>
    <phoneticPr fontId="1"/>
  </si>
  <si>
    <t>VS 300×900</t>
    <phoneticPr fontId="1"/>
  </si>
  <si>
    <t>VS 300×1000</t>
    <phoneticPr fontId="1"/>
  </si>
  <si>
    <t>VS 300×1100</t>
    <phoneticPr fontId="1"/>
  </si>
  <si>
    <t>2.0+2.0+4.6+9.3+3.4+4.3+2.0+11.8</t>
    <phoneticPr fontId="1"/>
  </si>
  <si>
    <t>2.0+2.0</t>
    <phoneticPr fontId="1"/>
  </si>
  <si>
    <t>4.0+5.3+3.1</t>
    <phoneticPr fontId="1"/>
  </si>
  <si>
    <t>上記Co 蓋
（車道用 L=0.5m）</t>
    <rPh sb="0" eb="2">
      <t>ジョウキ</t>
    </rPh>
    <rPh sb="5" eb="6">
      <t>フタ</t>
    </rPh>
    <rPh sb="8" eb="11">
      <t>シャドウヨウ</t>
    </rPh>
    <phoneticPr fontId="1"/>
  </si>
  <si>
    <t>上記Gr 蓋
（車道用 L=0.5m）</t>
    <rPh sb="0" eb="2">
      <t>ジョウキ</t>
    </rPh>
    <rPh sb="5" eb="6">
      <t>フタ</t>
    </rPh>
    <rPh sb="8" eb="11">
      <t>シャドウヨウ</t>
    </rPh>
    <phoneticPr fontId="1"/>
  </si>
  <si>
    <t>VS 300×300(横断用)</t>
    <rPh sb="11" eb="13">
      <t>オウダン</t>
    </rPh>
    <rPh sb="13" eb="14">
      <t>ヨウ</t>
    </rPh>
    <phoneticPr fontId="1"/>
  </si>
  <si>
    <t>VS 300×400(横断用)</t>
    <rPh sb="11" eb="14">
      <t>オウダンヨウ</t>
    </rPh>
    <phoneticPr fontId="1"/>
  </si>
  <si>
    <t>VS 300×500(横断用)</t>
    <rPh sb="11" eb="13">
      <t>オウダン</t>
    </rPh>
    <rPh sb="13" eb="14">
      <t>ヨウ</t>
    </rPh>
    <phoneticPr fontId="1"/>
  </si>
  <si>
    <t>Σ自由勾配側溝(縦断用)×0.9</t>
    <rPh sb="1" eb="3">
      <t>ジユウ</t>
    </rPh>
    <rPh sb="3" eb="5">
      <t>コウバイ</t>
    </rPh>
    <rPh sb="5" eb="7">
      <t>ソッコウ</t>
    </rPh>
    <rPh sb="8" eb="10">
      <t>ジュウダン</t>
    </rPh>
    <rPh sb="10" eb="11">
      <t>ヨウ</t>
    </rPh>
    <phoneticPr fontId="1"/>
  </si>
  <si>
    <t>Σ自由勾配側溝(縦断用)×0.1</t>
    <rPh sb="1" eb="3">
      <t>ジユウ</t>
    </rPh>
    <rPh sb="3" eb="5">
      <t>コウバイ</t>
    </rPh>
    <rPh sb="5" eb="7">
      <t>ソッコウ</t>
    </rPh>
    <rPh sb="8" eb="10">
      <t>ジュウダン</t>
    </rPh>
    <rPh sb="10" eb="11">
      <t>ヨウ</t>
    </rPh>
    <phoneticPr fontId="1"/>
  </si>
  <si>
    <t>上記Gr 蓋
（横断側溝用 L=1.0m）</t>
    <rPh sb="0" eb="2">
      <t>ジョウキ</t>
    </rPh>
    <rPh sb="5" eb="6">
      <t>フタ</t>
    </rPh>
    <rPh sb="8" eb="10">
      <t>オウダン</t>
    </rPh>
    <rPh sb="10" eb="12">
      <t>ソッコウ</t>
    </rPh>
    <rPh sb="12" eb="13">
      <t>ヨウ</t>
    </rPh>
    <phoneticPr fontId="1"/>
  </si>
  <si>
    <t>Σ自由勾配側溝(縦断用)×0.5</t>
    <rPh sb="1" eb="3">
      <t>ジユウ</t>
    </rPh>
    <rPh sb="3" eb="5">
      <t>コウバイ</t>
    </rPh>
    <rPh sb="5" eb="7">
      <t>ソッコウ</t>
    </rPh>
    <rPh sb="8" eb="10">
      <t>ジュウダン</t>
    </rPh>
    <rPh sb="10" eb="11">
      <t>ヨウ</t>
    </rPh>
    <phoneticPr fontId="1"/>
  </si>
  <si>
    <t>遠心ボックスカルバート</t>
    <rPh sb="0" eb="2">
      <t>エンシン</t>
    </rPh>
    <phoneticPr fontId="1"/>
  </si>
  <si>
    <t>CSBΦ150</t>
    <phoneticPr fontId="1"/>
  </si>
  <si>
    <t>CSBφ200</t>
    <phoneticPr fontId="1"/>
  </si>
  <si>
    <t>CSBΦ250</t>
    <phoneticPr fontId="1"/>
  </si>
  <si>
    <t>VPΦ150</t>
    <phoneticPr fontId="1"/>
  </si>
  <si>
    <t>VPφ200</t>
    <phoneticPr fontId="1"/>
  </si>
  <si>
    <t>塩化ビニル管</t>
    <rPh sb="0" eb="2">
      <t>エンカ</t>
    </rPh>
    <rPh sb="5" eb="6">
      <t>クダ</t>
    </rPh>
    <phoneticPr fontId="1"/>
  </si>
  <si>
    <t>高さ×延長</t>
    <rPh sb="0" eb="1">
      <t>タカ</t>
    </rPh>
    <rPh sb="3" eb="5">
      <t>エンチョウ</t>
    </rPh>
    <phoneticPr fontId="1"/>
  </si>
  <si>
    <t>L</t>
    <phoneticPr fontId="1"/>
  </si>
  <si>
    <t>Σ(L縦断用+L横断用)</t>
    <rPh sb="3" eb="5">
      <t>ジュウダン</t>
    </rPh>
    <rPh sb="5" eb="6">
      <t>ヨウ</t>
    </rPh>
    <rPh sb="8" eb="10">
      <t>オウダン</t>
    </rPh>
    <rPh sb="10" eb="11">
      <t>ヨウ</t>
    </rPh>
    <phoneticPr fontId="1"/>
  </si>
  <si>
    <t>土工断面：VS300×500</t>
    <rPh sb="0" eb="2">
      <t>ドコウ</t>
    </rPh>
    <rPh sb="2" eb="4">
      <t>ダンメン</t>
    </rPh>
    <phoneticPr fontId="1"/>
  </si>
  <si>
    <t>自由勾配側溝</t>
    <rPh sb="0" eb="2">
      <t>ジユウ</t>
    </rPh>
    <rPh sb="2" eb="4">
      <t>コウバイ</t>
    </rPh>
    <rPh sb="4" eb="6">
      <t>ソッコウ</t>
    </rPh>
    <phoneticPr fontId="1"/>
  </si>
  <si>
    <t>（縦断用)</t>
    <rPh sb="1" eb="3">
      <t>ジュウダン</t>
    </rPh>
    <rPh sb="3" eb="4">
      <t>ヨウ</t>
    </rPh>
    <phoneticPr fontId="1"/>
  </si>
  <si>
    <t>（横断用）</t>
    <rPh sb="1" eb="3">
      <t>オウダン</t>
    </rPh>
    <rPh sb="3" eb="4">
      <t>ヨウ</t>
    </rPh>
    <phoneticPr fontId="1"/>
  </si>
  <si>
    <t>（上記土工）</t>
    <rPh sb="1" eb="3">
      <t>ジョウキ</t>
    </rPh>
    <rPh sb="3" eb="5">
      <t>ドコウ</t>
    </rPh>
    <phoneticPr fontId="1"/>
  </si>
  <si>
    <t>土工断面：CSBΦ200</t>
    <rPh sb="0" eb="2">
      <t>ドコウ</t>
    </rPh>
    <rPh sb="2" eb="4">
      <t>ダンメン</t>
    </rPh>
    <phoneticPr fontId="1"/>
  </si>
  <si>
    <t>土工断面：VPΦ150</t>
    <rPh sb="0" eb="2">
      <t>ドコウ</t>
    </rPh>
    <rPh sb="2" eb="4">
      <t>ダンメン</t>
    </rPh>
    <phoneticPr fontId="1"/>
  </si>
  <si>
    <t>高さの加重平均：Σ(高さ×延長)÷Σ(延長)
⇒(一番近い口径)Havg=200mm</t>
    <rPh sb="0" eb="1">
      <t>タカ</t>
    </rPh>
    <rPh sb="3" eb="7">
      <t>カジュウヘイキン</t>
    </rPh>
    <rPh sb="10" eb="11">
      <t>タカ</t>
    </rPh>
    <rPh sb="13" eb="15">
      <t>エンチョウ</t>
    </rPh>
    <rPh sb="19" eb="21">
      <t>エンチョウ</t>
    </rPh>
    <rPh sb="25" eb="27">
      <t>イチバン</t>
    </rPh>
    <rPh sb="27" eb="28">
      <t>チカ</t>
    </rPh>
    <rPh sb="29" eb="31">
      <t>コウケイ</t>
    </rPh>
    <phoneticPr fontId="1"/>
  </si>
  <si>
    <t>高さの加重平均：Σ(高さ×延長)÷Σ(延長)
⇒(一番近い規格)Havg=500mm</t>
    <rPh sb="0" eb="1">
      <t>タカ</t>
    </rPh>
    <rPh sb="3" eb="7">
      <t>カジュウヘイキン</t>
    </rPh>
    <rPh sb="10" eb="11">
      <t>タカ</t>
    </rPh>
    <rPh sb="13" eb="15">
      <t>エンチョウ</t>
    </rPh>
    <rPh sb="19" eb="21">
      <t>エンチョウ</t>
    </rPh>
    <rPh sb="25" eb="27">
      <t>イチバン</t>
    </rPh>
    <rPh sb="27" eb="28">
      <t>チカ</t>
    </rPh>
    <rPh sb="29" eb="31">
      <t>キカク</t>
    </rPh>
    <phoneticPr fontId="1"/>
  </si>
  <si>
    <t>高さの加重平均：Σ(高さ×延長)÷Σ(延長)
⇒(一番近い規格)Havg=150mm</t>
    <rPh sb="0" eb="1">
      <t>タカ</t>
    </rPh>
    <rPh sb="3" eb="7">
      <t>カジュウヘイキン</t>
    </rPh>
    <rPh sb="10" eb="11">
      <t>タカ</t>
    </rPh>
    <rPh sb="13" eb="15">
      <t>エンチョウ</t>
    </rPh>
    <rPh sb="19" eb="21">
      <t>エンチョウ</t>
    </rPh>
    <rPh sb="25" eb="27">
      <t>イチバン</t>
    </rPh>
    <rPh sb="27" eb="28">
      <t>チカ</t>
    </rPh>
    <rPh sb="29" eb="31">
      <t>キカク</t>
    </rPh>
    <phoneticPr fontId="1"/>
  </si>
  <si>
    <t>作業土工</t>
    <rPh sb="0" eb="2">
      <t>サギョウ</t>
    </rPh>
    <rPh sb="2" eb="3">
      <t>ツチ</t>
    </rPh>
    <rPh sb="3" eb="4">
      <t>コウ</t>
    </rPh>
    <phoneticPr fontId="1"/>
  </si>
  <si>
    <t>　埋戻し</t>
    <rPh sb="1" eb="3">
      <t>ウメモド</t>
    </rPh>
    <phoneticPr fontId="1"/>
  </si>
  <si>
    <t>　床堀</t>
    <rPh sb="1" eb="3">
      <t>ユカホリ</t>
    </rPh>
    <phoneticPr fontId="1"/>
  </si>
  <si>
    <t>U字溝</t>
    <rPh sb="1" eb="2">
      <t>ジ</t>
    </rPh>
    <rPh sb="2" eb="3">
      <t>ミゾ</t>
    </rPh>
    <phoneticPr fontId="1"/>
  </si>
  <si>
    <t>U180</t>
    <phoneticPr fontId="1"/>
  </si>
  <si>
    <t>U250</t>
    <phoneticPr fontId="1"/>
  </si>
  <si>
    <t>高さの加重平均：Σ(高さ×延長)÷Σ(延長)
⇒(一番近い規格)Havg=180mm</t>
    <rPh sb="0" eb="1">
      <t>タカ</t>
    </rPh>
    <rPh sb="3" eb="7">
      <t>カジュウヘイキン</t>
    </rPh>
    <rPh sb="10" eb="11">
      <t>タカ</t>
    </rPh>
    <rPh sb="13" eb="15">
      <t>エンチョウ</t>
    </rPh>
    <rPh sb="19" eb="21">
      <t>エンチョウ</t>
    </rPh>
    <rPh sb="25" eb="27">
      <t>イチバン</t>
    </rPh>
    <rPh sb="27" eb="28">
      <t>チカ</t>
    </rPh>
    <rPh sb="29" eb="31">
      <t>キカク</t>
    </rPh>
    <phoneticPr fontId="1"/>
  </si>
  <si>
    <t>土工断面：U180</t>
    <rPh sb="0" eb="2">
      <t>ドコウ</t>
    </rPh>
    <rPh sb="2" eb="4">
      <t>ダンメン</t>
    </rPh>
    <phoneticPr fontId="1"/>
  </si>
  <si>
    <t>×</t>
    <phoneticPr fontId="1"/>
  </si>
  <si>
    <t>①-2</t>
    <phoneticPr fontId="1"/>
  </si>
  <si>
    <t>①-3</t>
    <phoneticPr fontId="1"/>
  </si>
  <si>
    <t>①-4</t>
    <phoneticPr fontId="1"/>
  </si>
  <si>
    <t>①-5</t>
    <phoneticPr fontId="1"/>
  </si>
  <si>
    <t>①-6</t>
    <phoneticPr fontId="1"/>
  </si>
  <si>
    <t>①-7</t>
    <phoneticPr fontId="1"/>
  </si>
  <si>
    <t>②-1</t>
    <phoneticPr fontId="1"/>
  </si>
  <si>
    <t>②-2</t>
    <phoneticPr fontId="1"/>
  </si>
  <si>
    <t>③-1</t>
    <phoneticPr fontId="1"/>
  </si>
  <si>
    <t>③-2</t>
  </si>
  <si>
    <t>③-3</t>
  </si>
  <si>
    <t>③-4</t>
  </si>
  <si>
    <t>③-5</t>
  </si>
  <si>
    <t>③-6</t>
  </si>
  <si>
    <t>④-1</t>
    <phoneticPr fontId="1"/>
  </si>
  <si>
    <t>④-2</t>
  </si>
  <si>
    <t>④-3</t>
  </si>
  <si>
    <t>④-4</t>
  </si>
  <si>
    <t>④-5</t>
  </si>
  <si>
    <t>④-6</t>
  </si>
  <si>
    <t>④-7</t>
  </si>
  <si>
    <t>④-8</t>
  </si>
  <si>
    <t>⑤-1a</t>
    <phoneticPr fontId="1"/>
  </si>
  <si>
    <t>⑤-1b</t>
    <phoneticPr fontId="1"/>
  </si>
  <si>
    <t>⑤-1c</t>
    <phoneticPr fontId="1"/>
  </si>
  <si>
    <t>⑤-2</t>
    <phoneticPr fontId="1"/>
  </si>
  <si>
    <t>⑤-3</t>
  </si>
  <si>
    <t>⑤-4</t>
  </si>
  <si>
    <t>⑤-5</t>
  </si>
  <si>
    <t>⑤-6</t>
  </si>
  <si>
    <t>⑤-7</t>
  </si>
  <si>
    <t>⑥-1</t>
    <phoneticPr fontId="1"/>
  </si>
  <si>
    <t>⑥-2</t>
    <phoneticPr fontId="1"/>
  </si>
  <si>
    <t>⑩-1</t>
    <phoneticPr fontId="1"/>
  </si>
  <si>
    <t>⑪-2</t>
    <phoneticPr fontId="1"/>
  </si>
  <si>
    <t>⑪-3</t>
  </si>
  <si>
    <t>⑪-4</t>
  </si>
  <si>
    <t>⑫-1</t>
    <phoneticPr fontId="1"/>
  </si>
  <si>
    <t>①-1</t>
    <phoneticPr fontId="1"/>
  </si>
  <si>
    <t>桝番号</t>
    <rPh sb="0" eb="1">
      <t>マス</t>
    </rPh>
    <rPh sb="1" eb="3">
      <t>バンゴウ</t>
    </rPh>
    <phoneticPr fontId="1"/>
  </si>
  <si>
    <t>W</t>
    <phoneticPr fontId="1"/>
  </si>
  <si>
    <t>H</t>
    <phoneticPr fontId="1"/>
  </si>
  <si>
    <t>蓋</t>
    <rPh sb="0" eb="1">
      <t>フタ</t>
    </rPh>
    <phoneticPr fontId="1"/>
  </si>
  <si>
    <t>Gr</t>
    <phoneticPr fontId="1"/>
  </si>
  <si>
    <t>備考</t>
    <rPh sb="0" eb="2">
      <t>ビコウ</t>
    </rPh>
    <phoneticPr fontId="1"/>
  </si>
  <si>
    <t>細目</t>
    <rPh sb="0" eb="2">
      <t>ホソメ</t>
    </rPh>
    <phoneticPr fontId="1"/>
  </si>
  <si>
    <t>φ200</t>
    <phoneticPr fontId="1"/>
  </si>
  <si>
    <t>Co</t>
    <phoneticPr fontId="1"/>
  </si>
  <si>
    <t>14t</t>
  </si>
  <si>
    <t>14t</t>
    <phoneticPr fontId="1"/>
  </si>
  <si>
    <t>15t</t>
  </si>
  <si>
    <t>16t</t>
  </si>
  <si>
    <t>桝の規格</t>
    <rPh sb="0" eb="1">
      <t>マス</t>
    </rPh>
    <rPh sb="2" eb="4">
      <t>キカク</t>
    </rPh>
    <phoneticPr fontId="1"/>
  </si>
  <si>
    <t>塩ビ製</t>
    <rPh sb="0" eb="1">
      <t>エン</t>
    </rPh>
    <rPh sb="2" eb="3">
      <t>セイ</t>
    </rPh>
    <phoneticPr fontId="1"/>
  </si>
  <si>
    <t>材質</t>
    <rPh sb="0" eb="2">
      <t>ザイシツ</t>
    </rPh>
    <phoneticPr fontId="1"/>
  </si>
  <si>
    <t>天端：砂利敷き</t>
    <rPh sb="0" eb="2">
      <t>テンバ</t>
    </rPh>
    <rPh sb="3" eb="5">
      <t>ジャリ</t>
    </rPh>
    <rPh sb="5" eb="6">
      <t>シ</t>
    </rPh>
    <phoneticPr fontId="1"/>
  </si>
  <si>
    <t>鋳鉄</t>
    <rPh sb="0" eb="2">
      <t>チュウテツ</t>
    </rPh>
    <phoneticPr fontId="1"/>
  </si>
  <si>
    <t>⑪-1</t>
    <phoneticPr fontId="1"/>
  </si>
  <si>
    <t>基</t>
    <rPh sb="0" eb="1">
      <t>モト</t>
    </rPh>
    <phoneticPr fontId="1"/>
  </si>
  <si>
    <t>蓋がかり</t>
    <rPh sb="0" eb="1">
      <t>フタ</t>
    </rPh>
    <phoneticPr fontId="1"/>
  </si>
  <si>
    <t>内空高</t>
    <rPh sb="0" eb="2">
      <t>ナイクウ</t>
    </rPh>
    <rPh sb="2" eb="3">
      <t>タカ</t>
    </rPh>
    <phoneticPr fontId="1"/>
  </si>
  <si>
    <t>GL～渠底
(図面値)</t>
    <rPh sb="3" eb="5">
      <t>キョテイ</t>
    </rPh>
    <rPh sb="7" eb="9">
      <t>ズメン</t>
    </rPh>
    <rPh sb="9" eb="10">
      <t>アタイ</t>
    </rPh>
    <phoneticPr fontId="1"/>
  </si>
  <si>
    <t>内空高
(10cm単位まるめ)</t>
    <rPh sb="0" eb="2">
      <t>ナイクウ</t>
    </rPh>
    <rPh sb="2" eb="3">
      <t>タカ</t>
    </rPh>
    <rPh sb="9" eb="11">
      <t>タンイ</t>
    </rPh>
    <phoneticPr fontId="1"/>
  </si>
  <si>
    <t>桝の寸法の整理</t>
    <rPh sb="0" eb="1">
      <t>マス</t>
    </rPh>
    <rPh sb="2" eb="4">
      <t>スンポウ</t>
    </rPh>
    <rPh sb="5" eb="7">
      <t>セイリ</t>
    </rPh>
    <phoneticPr fontId="1"/>
  </si>
  <si>
    <t>&lt;図面と表とで差異があった場合&gt;
上記表を正とし、起工測量による変更を前提とする。</t>
    <rPh sb="1" eb="3">
      <t>ズメン</t>
    </rPh>
    <rPh sb="4" eb="5">
      <t>ヒョウ</t>
    </rPh>
    <rPh sb="7" eb="9">
      <t>サイ</t>
    </rPh>
    <rPh sb="13" eb="15">
      <t>バアイ</t>
    </rPh>
    <rPh sb="17" eb="19">
      <t>ジョウキ</t>
    </rPh>
    <rPh sb="19" eb="20">
      <t>ヒョウ</t>
    </rPh>
    <rPh sb="21" eb="22">
      <t>セイ</t>
    </rPh>
    <rPh sb="25" eb="27">
      <t>キコウ</t>
    </rPh>
    <rPh sb="27" eb="29">
      <t>ソクリョウ</t>
    </rPh>
    <rPh sb="32" eb="34">
      <t>ヘンコウ</t>
    </rPh>
    <rPh sb="35" eb="37">
      <t>ゼンテイ</t>
    </rPh>
    <phoneticPr fontId="1"/>
  </si>
  <si>
    <t>桝　調書</t>
    <rPh sb="0" eb="1">
      <t>マス</t>
    </rPh>
    <rPh sb="2" eb="4">
      <t>チョウショ</t>
    </rPh>
    <phoneticPr fontId="1"/>
  </si>
  <si>
    <t>桝　集計表</t>
    <rPh sb="0" eb="1">
      <t>マス</t>
    </rPh>
    <rPh sb="2" eb="4">
      <t>シュウケイ</t>
    </rPh>
    <rPh sb="4" eb="5">
      <t>ヒョウ</t>
    </rPh>
    <phoneticPr fontId="1"/>
  </si>
  <si>
    <t>排水構造物　調書</t>
    <rPh sb="0" eb="2">
      <t>ハイスイ</t>
    </rPh>
    <rPh sb="2" eb="5">
      <t>コウゾウブツ</t>
    </rPh>
    <rPh sb="6" eb="8">
      <t>チョウショ</t>
    </rPh>
    <phoneticPr fontId="1"/>
  </si>
  <si>
    <t>&lt;桝の深さについて&gt;
図面はGL下がりで表記されてるため、左記表により補正を行い、設計上での桝の内空高を定めることとする。
※起工測量により、補正後の高さ(泥溜め深さ等)を検証する。</t>
    <rPh sb="1" eb="2">
      <t>マス</t>
    </rPh>
    <rPh sb="3" eb="4">
      <t>フカ</t>
    </rPh>
    <rPh sb="11" eb="13">
      <t>ズメン</t>
    </rPh>
    <rPh sb="16" eb="17">
      <t>サ</t>
    </rPh>
    <rPh sb="20" eb="22">
      <t>ヒョウキ</t>
    </rPh>
    <rPh sb="29" eb="31">
      <t>サキ</t>
    </rPh>
    <rPh sb="31" eb="32">
      <t>ヒョウ</t>
    </rPh>
    <rPh sb="35" eb="37">
      <t>ホセイ</t>
    </rPh>
    <rPh sb="38" eb="39">
      <t>オコナ</t>
    </rPh>
    <rPh sb="41" eb="43">
      <t>セッケイ</t>
    </rPh>
    <rPh sb="43" eb="44">
      <t>ウエ</t>
    </rPh>
    <rPh sb="46" eb="47">
      <t>マス</t>
    </rPh>
    <rPh sb="48" eb="50">
      <t>ナイクウ</t>
    </rPh>
    <rPh sb="50" eb="51">
      <t>タカ</t>
    </rPh>
    <rPh sb="52" eb="53">
      <t>サダ</t>
    </rPh>
    <rPh sb="63" eb="65">
      <t>キコウ</t>
    </rPh>
    <rPh sb="65" eb="67">
      <t>ソクリョウ</t>
    </rPh>
    <rPh sb="71" eb="73">
      <t>ホセイ</t>
    </rPh>
    <rPh sb="73" eb="74">
      <t>ウシ</t>
    </rPh>
    <rPh sb="75" eb="76">
      <t>タカ</t>
    </rPh>
    <rPh sb="78" eb="79">
      <t>ドロ</t>
    </rPh>
    <rPh sb="79" eb="80">
      <t>タ</t>
    </rPh>
    <rPh sb="81" eb="82">
      <t>フカ</t>
    </rPh>
    <rPh sb="83" eb="84">
      <t>トウ</t>
    </rPh>
    <rPh sb="86" eb="88">
      <t>ケンショウ</t>
    </rPh>
    <phoneticPr fontId="1"/>
  </si>
  <si>
    <t>基</t>
    <rPh sb="0" eb="1">
      <t>モト</t>
    </rPh>
    <phoneticPr fontId="1"/>
  </si>
  <si>
    <t>2.0+2.0+7.1+8.0</t>
    <phoneticPr fontId="1"/>
  </si>
  <si>
    <t>※塩ビ桝は、微小なため土量計計算を行わないこととする</t>
    <rPh sb="1" eb="2">
      <t>エン</t>
    </rPh>
    <rPh sb="3" eb="4">
      <t>マス</t>
    </rPh>
    <rPh sb="6" eb="8">
      <t>ビショウ</t>
    </rPh>
    <rPh sb="11" eb="14">
      <t>ドリョウケイ</t>
    </rPh>
    <rPh sb="14" eb="16">
      <t>ケイサン</t>
    </rPh>
    <rPh sb="17" eb="18">
      <t>オコナ</t>
    </rPh>
    <phoneticPr fontId="1"/>
  </si>
  <si>
    <t>(土工土工）</t>
    <rPh sb="1" eb="3">
      <t>ドコウ</t>
    </rPh>
    <rPh sb="3" eb="5">
      <t>ドコウ</t>
    </rPh>
    <phoneticPr fontId="1"/>
  </si>
  <si>
    <t>高さ×基量</t>
    <rPh sb="0" eb="1">
      <t>タカ</t>
    </rPh>
    <rPh sb="3" eb="4">
      <t>キ</t>
    </rPh>
    <rPh sb="4" eb="5">
      <t>リョウ</t>
    </rPh>
    <phoneticPr fontId="1"/>
  </si>
  <si>
    <t>高さの加重平均：Σ(高さ×基数)÷Σ(基数)
⇒(一番近い規格)Havg=500mm</t>
    <rPh sb="13" eb="15">
      <t>キスウ</t>
    </rPh>
    <rPh sb="19" eb="21">
      <t>キスウ</t>
    </rPh>
    <phoneticPr fontId="1"/>
  </si>
  <si>
    <t xml:space="preserve"> 　土工断面：</t>
    <rPh sb="2" eb="4">
      <t>ドコウ</t>
    </rPh>
    <rPh sb="4" eb="6">
      <t>ダンメン</t>
    </rPh>
    <phoneticPr fontId="1"/>
  </si>
  <si>
    <t xml:space="preserve">    Σ基数</t>
    <rPh sb="5" eb="7">
      <t>キスウ</t>
    </rPh>
    <phoneticPr fontId="1"/>
  </si>
  <si>
    <t>①排水区</t>
    <rPh sb="1" eb="4">
      <t>ハイスイク</t>
    </rPh>
    <phoneticPr fontId="1"/>
  </si>
  <si>
    <t>t1</t>
    <phoneticPr fontId="1"/>
  </si>
  <si>
    <t>t2</t>
    <phoneticPr fontId="1"/>
  </si>
  <si>
    <t>tavg</t>
    <phoneticPr fontId="1"/>
  </si>
  <si>
    <t>V</t>
    <phoneticPr fontId="1"/>
  </si>
  <si>
    <t>[1-1]</t>
    <phoneticPr fontId="1"/>
  </si>
  <si>
    <t>[1-4]</t>
  </si>
  <si>
    <t>[1-5]</t>
  </si>
  <si>
    <t>[1-6]</t>
  </si>
  <si>
    <t>[1-7]</t>
  </si>
  <si>
    <t>[1-8]</t>
  </si>
  <si>
    <t>[4]</t>
  </si>
  <si>
    <t>[4]</t>
    <phoneticPr fontId="1"/>
  </si>
  <si>
    <t>[2]</t>
  </si>
  <si>
    <t>[2]</t>
    <phoneticPr fontId="1"/>
  </si>
  <si>
    <t>③排水区</t>
    <rPh sb="1" eb="4">
      <t>ハイスイク</t>
    </rPh>
    <phoneticPr fontId="1"/>
  </si>
  <si>
    <t>[1]</t>
    <phoneticPr fontId="1"/>
  </si>
  <si>
    <t>[3-1]</t>
    <phoneticPr fontId="1"/>
  </si>
  <si>
    <t>[3-2]</t>
    <phoneticPr fontId="1"/>
  </si>
  <si>
    <t>[6]</t>
  </si>
  <si>
    <t>[6]</t>
    <phoneticPr fontId="1"/>
  </si>
  <si>
    <t>[7]</t>
  </si>
  <si>
    <t>[7]</t>
    <phoneticPr fontId="1"/>
  </si>
  <si>
    <t>[3]</t>
    <phoneticPr fontId="1"/>
  </si>
  <si>
    <t>④排水区</t>
    <rPh sb="1" eb="4">
      <t>ハイスイク</t>
    </rPh>
    <phoneticPr fontId="1"/>
  </si>
  <si>
    <t>[5]</t>
  </si>
  <si>
    <t>[10]</t>
  </si>
  <si>
    <t>⑤排水区</t>
    <rPh sb="1" eb="4">
      <t>ハイスイク</t>
    </rPh>
    <phoneticPr fontId="1"/>
  </si>
  <si>
    <t>[11]</t>
  </si>
  <si>
    <t>[13]</t>
  </si>
  <si>
    <t>[3-3]</t>
    <phoneticPr fontId="1"/>
  </si>
  <si>
    <t>[8]</t>
    <phoneticPr fontId="1"/>
  </si>
  <si>
    <t>ΣV(①～⑤)=</t>
    <phoneticPr fontId="1"/>
  </si>
  <si>
    <t>自由勾配側溝 インバート計算書</t>
    <rPh sb="0" eb="4">
      <t>ジユウコウバイ</t>
    </rPh>
    <rPh sb="4" eb="6">
      <t>ソッコウ</t>
    </rPh>
    <rPh sb="12" eb="15">
      <t>ケイサンショ</t>
    </rPh>
    <phoneticPr fontId="1"/>
  </si>
  <si>
    <t>　　　見切り縁
　　　※ｱｽﾌｧﾙﾄｴｯｼﾞ40 同等品</t>
    <rPh sb="3" eb="5">
      <t>ミキ</t>
    </rPh>
    <rPh sb="6" eb="7">
      <t>フチ</t>
    </rPh>
    <rPh sb="25" eb="28">
      <t>ドウトウヒン</t>
    </rPh>
    <phoneticPr fontId="1"/>
  </si>
  <si>
    <t>式</t>
    <rPh sb="0" eb="1">
      <t>シキ</t>
    </rPh>
    <phoneticPr fontId="1"/>
  </si>
  <si>
    <t>ｲﾝﾊﾞｰﾄ計算書より</t>
    <rPh sb="6" eb="9">
      <t>ケイサンショ</t>
    </rPh>
    <phoneticPr fontId="1"/>
  </si>
  <si>
    <t>基礎延長</t>
    <rPh sb="0" eb="2">
      <t>キソ</t>
    </rPh>
    <rPh sb="2" eb="4">
      <t>エンチョウ</t>
    </rPh>
    <phoneticPr fontId="1"/>
  </si>
  <si>
    <t>基数</t>
    <rPh sb="0" eb="2">
      <t>キスウ</t>
    </rPh>
    <phoneticPr fontId="1"/>
  </si>
  <si>
    <t>L＝</t>
    <phoneticPr fontId="1"/>
  </si>
  <si>
    <t>N=</t>
    <phoneticPr fontId="1"/>
  </si>
  <si>
    <t>現場打ち基礎体積</t>
    <rPh sb="0" eb="2">
      <t>ゲンバ</t>
    </rPh>
    <rPh sb="2" eb="3">
      <t>ウ</t>
    </rPh>
    <rPh sb="4" eb="6">
      <t>キソ</t>
    </rPh>
    <rPh sb="6" eb="8">
      <t>タイセキ</t>
    </rPh>
    <phoneticPr fontId="1"/>
  </si>
  <si>
    <t>〃　型枠</t>
    <rPh sb="2" eb="4">
      <t>カタワク</t>
    </rPh>
    <phoneticPr fontId="1"/>
  </si>
  <si>
    <t>基礎砕石(t=150)</t>
    <rPh sb="0" eb="2">
      <t>キソ</t>
    </rPh>
    <rPh sb="2" eb="4">
      <t>サイセキ</t>
    </rPh>
    <phoneticPr fontId="1"/>
  </si>
  <si>
    <t>主筋</t>
    <rPh sb="0" eb="2">
      <t>シュスジ</t>
    </rPh>
    <phoneticPr fontId="1"/>
  </si>
  <si>
    <t>ベース筋</t>
    <rPh sb="3" eb="4">
      <t>スジ</t>
    </rPh>
    <phoneticPr fontId="1"/>
  </si>
  <si>
    <t>横筋</t>
    <rPh sb="0" eb="2">
      <t>ヨコスジ</t>
    </rPh>
    <phoneticPr fontId="1"/>
  </si>
  <si>
    <t>配筋(D-10)</t>
    <rPh sb="0" eb="2">
      <t>ハイキン</t>
    </rPh>
    <phoneticPr fontId="1"/>
  </si>
  <si>
    <t>l=</t>
    <phoneticPr fontId="1"/>
  </si>
  <si>
    <t>単位数量</t>
    <rPh sb="0" eb="2">
      <t>タンイ</t>
    </rPh>
    <rPh sb="2" eb="4">
      <t>スウリョウ</t>
    </rPh>
    <phoneticPr fontId="1"/>
  </si>
  <si>
    <t>総数</t>
    <rPh sb="0" eb="2">
      <t>ソウスウ</t>
    </rPh>
    <phoneticPr fontId="1"/>
  </si>
  <si>
    <t>側面</t>
    <rPh sb="0" eb="2">
      <t>ソクメン</t>
    </rPh>
    <phoneticPr fontId="1"/>
  </si>
  <si>
    <t>端部</t>
    <rPh sb="0" eb="2">
      <t>タンブ</t>
    </rPh>
    <phoneticPr fontId="1"/>
  </si>
  <si>
    <t>A×2=</t>
    <phoneticPr fontId="1"/>
  </si>
  <si>
    <t>単位数量×基礎延長</t>
    <rPh sb="0" eb="2">
      <t>タンイ</t>
    </rPh>
    <rPh sb="2" eb="4">
      <t>スウリョウ</t>
    </rPh>
    <rPh sb="5" eb="7">
      <t>キソ</t>
    </rPh>
    <rPh sb="7" eb="9">
      <t>エンチョウ</t>
    </rPh>
    <phoneticPr fontId="1"/>
  </si>
  <si>
    <t>総数×基数</t>
    <rPh sb="0" eb="2">
      <t>ソウスウ</t>
    </rPh>
    <rPh sb="3" eb="5">
      <t>キスウ</t>
    </rPh>
    <phoneticPr fontId="1"/>
  </si>
  <si>
    <t>Σl×0.56
(0.56kg/m)</t>
    <phoneticPr fontId="1"/>
  </si>
  <si>
    <t>均しコンクリート</t>
    <rPh sb="0" eb="1">
      <t>ナラ</t>
    </rPh>
    <phoneticPr fontId="1"/>
  </si>
  <si>
    <t>主筋、ﾍﾞｰｽ筋</t>
    <rPh sb="0" eb="2">
      <t>シュキン</t>
    </rPh>
    <rPh sb="7" eb="8">
      <t>スジ</t>
    </rPh>
    <phoneticPr fontId="1"/>
  </si>
  <si>
    <t>n=</t>
    <phoneticPr fontId="1"/>
  </si>
  <si>
    <t>l×n=</t>
    <phoneticPr fontId="1"/>
  </si>
  <si>
    <t>l×L=</t>
    <phoneticPr fontId="1"/>
  </si>
  <si>
    <t>A×L=</t>
    <phoneticPr fontId="1"/>
  </si>
  <si>
    <t>W×L=</t>
    <phoneticPr fontId="1"/>
  </si>
  <si>
    <t>鉄筋長手延長</t>
    <rPh sb="0" eb="2">
      <t>テッキン</t>
    </rPh>
    <rPh sb="2" eb="4">
      <t>ナガテ</t>
    </rPh>
    <rPh sb="4" eb="6">
      <t>エンチョウ</t>
    </rPh>
    <phoneticPr fontId="1"/>
  </si>
  <si>
    <t>L鉄=</t>
    <rPh sb="1" eb="2">
      <t>テツ</t>
    </rPh>
    <phoneticPr fontId="1"/>
  </si>
  <si>
    <t>l×L鉄=</t>
    <rPh sb="3" eb="4">
      <t>テツ</t>
    </rPh>
    <phoneticPr fontId="1"/>
  </si>
  <si>
    <t>Σ(総数×基数)</t>
    <rPh sb="2" eb="4">
      <t>ソウスウ</t>
    </rPh>
    <rPh sb="5" eb="7">
      <t>キスウ</t>
    </rPh>
    <phoneticPr fontId="1"/>
  </si>
  <si>
    <t>m</t>
    <phoneticPr fontId="1"/>
  </si>
  <si>
    <t>個</t>
    <rPh sb="0" eb="1">
      <t>コ</t>
    </rPh>
    <phoneticPr fontId="1"/>
  </si>
  <si>
    <t>ベンチ基礎　計算書</t>
    <rPh sb="3" eb="5">
      <t>キソ</t>
    </rPh>
    <rPh sb="6" eb="9">
      <t>ケイサンショ</t>
    </rPh>
    <phoneticPr fontId="1"/>
  </si>
  <si>
    <t>Co階段　計算書</t>
    <rPh sb="2" eb="4">
      <t>カイダン</t>
    </rPh>
    <rPh sb="5" eb="8">
      <t>ケイサンショ</t>
    </rPh>
    <phoneticPr fontId="1"/>
  </si>
  <si>
    <t>L1=</t>
    <phoneticPr fontId="1"/>
  </si>
  <si>
    <t>&lt;階段&gt;</t>
    <rPh sb="1" eb="3">
      <t>カイダン</t>
    </rPh>
    <phoneticPr fontId="1"/>
  </si>
  <si>
    <t>&lt;捨てCo&gt;</t>
    <rPh sb="1" eb="2">
      <t>ス</t>
    </rPh>
    <phoneticPr fontId="1"/>
  </si>
  <si>
    <t>　型枠</t>
    <rPh sb="1" eb="3">
      <t>カタワク</t>
    </rPh>
    <phoneticPr fontId="1"/>
  </si>
  <si>
    <t>　ｺﾝｸﾘｰﾄ</t>
    <phoneticPr fontId="1"/>
  </si>
  <si>
    <t>　基礎砕石</t>
    <rPh sb="1" eb="3">
      <t>キソ</t>
    </rPh>
    <rPh sb="3" eb="5">
      <t>サイセキ</t>
    </rPh>
    <phoneticPr fontId="1"/>
  </si>
  <si>
    <t>単位数量×L</t>
    <rPh sb="0" eb="2">
      <t>タンイ</t>
    </rPh>
    <rPh sb="2" eb="4">
      <t>スウリョウ</t>
    </rPh>
    <phoneticPr fontId="1"/>
  </si>
  <si>
    <t>A-A'</t>
    <phoneticPr fontId="1"/>
  </si>
  <si>
    <t>B-B'</t>
    <phoneticPr fontId="1"/>
  </si>
  <si>
    <t>L2=</t>
    <phoneticPr fontId="1"/>
  </si>
  <si>
    <t>L3=</t>
    <phoneticPr fontId="1"/>
  </si>
  <si>
    <t>Avg(A-A'＆B-B')</t>
    <phoneticPr fontId="1"/>
  </si>
  <si>
    <t>Σ(単位数量×L)</t>
    <rPh sb="2" eb="4">
      <t>タンイ</t>
    </rPh>
    <rPh sb="4" eb="6">
      <t>スウリョウ</t>
    </rPh>
    <phoneticPr fontId="1"/>
  </si>
  <si>
    <t>　       捨てｺﾝｸﾘｰﾄ</t>
    <rPh sb="8" eb="9">
      <t>ス</t>
    </rPh>
    <phoneticPr fontId="1"/>
  </si>
  <si>
    <t xml:space="preserve">　　　型枠工  </t>
    <rPh sb="3" eb="5">
      <t>カタワク</t>
    </rPh>
    <rPh sb="5" eb="6">
      <t>コウ</t>
    </rPh>
    <phoneticPr fontId="1"/>
  </si>
  <si>
    <t>　　　ｺﾝｸﾘｰﾄ工　</t>
    <rPh sb="9" eb="10">
      <t>コウ</t>
    </rPh>
    <phoneticPr fontId="1"/>
  </si>
  <si>
    <t>ΣA=</t>
    <phoneticPr fontId="1"/>
  </si>
  <si>
    <t>単位数量×L
※型枠の側面:A×2</t>
    <rPh sb="0" eb="2">
      <t>タンイ</t>
    </rPh>
    <rPh sb="2" eb="4">
      <t>スウリョウ</t>
    </rPh>
    <rPh sb="8" eb="10">
      <t>カタワク</t>
    </rPh>
    <rPh sb="11" eb="13">
      <t>ソクメン</t>
    </rPh>
    <phoneticPr fontId="1"/>
  </si>
  <si>
    <t>　　　上記独立基礎</t>
    <rPh sb="3" eb="5">
      <t>ジョウキ</t>
    </rPh>
    <rPh sb="5" eb="9">
      <t>ドクリツキソ</t>
    </rPh>
    <phoneticPr fontId="1"/>
  </si>
  <si>
    <t xml:space="preserve">        　手摺　ｽﾁｰﾙ H=850(独立基礎用)</t>
    <rPh sb="9" eb="11">
      <t>テスリ</t>
    </rPh>
    <rPh sb="23" eb="25">
      <t>ドクリツ</t>
    </rPh>
    <rPh sb="25" eb="27">
      <t>キソ</t>
    </rPh>
    <rPh sb="27" eb="28">
      <t>ヨウ</t>
    </rPh>
    <phoneticPr fontId="1"/>
  </si>
  <si>
    <t xml:space="preserve">        　手摺　ｽﾁｰﾙ H=850(BP設置用)</t>
    <rPh sb="9" eb="11">
      <t>テスリ</t>
    </rPh>
    <rPh sb="25" eb="27">
      <t>セッチ</t>
    </rPh>
    <rPh sb="27" eb="28">
      <t>ヨウ</t>
    </rPh>
    <phoneticPr fontId="1"/>
  </si>
  <si>
    <t>計画GL造成工</t>
    <rPh sb="0" eb="2">
      <t>ケイカク</t>
    </rPh>
    <rPh sb="4" eb="6">
      <t>ゾウセイ</t>
    </rPh>
    <rPh sb="6" eb="7">
      <t>コウ</t>
    </rPh>
    <phoneticPr fontId="1"/>
  </si>
  <si>
    <t>①</t>
    <phoneticPr fontId="1"/>
  </si>
  <si>
    <t>②</t>
    <phoneticPr fontId="1"/>
  </si>
  <si>
    <t>③</t>
    <phoneticPr fontId="1"/>
  </si>
  <si>
    <t>掘削</t>
    <rPh sb="0" eb="2">
      <t>クッサク</t>
    </rPh>
    <phoneticPr fontId="1"/>
  </si>
  <si>
    <t>面積(㎡)</t>
    <rPh sb="0" eb="2">
      <t>メンセキ</t>
    </rPh>
    <phoneticPr fontId="1"/>
  </si>
  <si>
    <t>高さ(m)</t>
    <rPh sb="0" eb="1">
      <t>タカ</t>
    </rPh>
    <phoneticPr fontId="1"/>
  </si>
  <si>
    <t>体積(m3)</t>
    <rPh sb="0" eb="2">
      <t>タイセキ</t>
    </rPh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</si>
  <si>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</si>
  <si>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</si>
  <si>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</si>
  <si>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</si>
  <si>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</si>
  <si>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</si>
  <si>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</si>
  <si>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合計</t>
    <rPh sb="0" eb="2">
      <t>ゴウケイ</t>
    </rPh>
    <phoneticPr fontId="1"/>
  </si>
  <si>
    <t>V=(11×90)÷2</t>
    <phoneticPr fontId="1"/>
  </si>
  <si>
    <t>内容</t>
    <rPh sb="0" eb="2">
      <t>ナイヨウ</t>
    </rPh>
    <phoneticPr fontId="1"/>
  </si>
  <si>
    <t>面積(m2)</t>
    <rPh sb="0" eb="2">
      <t>メンセキ</t>
    </rPh>
    <phoneticPr fontId="1"/>
  </si>
  <si>
    <t>深さ(m)</t>
    <rPh sb="0" eb="1">
      <t>フカ</t>
    </rPh>
    <phoneticPr fontId="1"/>
  </si>
  <si>
    <t>置換え工法
※山砂(CBR20％)</t>
    <rPh sb="0" eb="2">
      <t>オキカ</t>
    </rPh>
    <rPh sb="3" eb="5">
      <t>コウホウ</t>
    </rPh>
    <rPh sb="7" eb="9">
      <t>ヤマスナ</t>
    </rPh>
    <phoneticPr fontId="1"/>
  </si>
  <si>
    <t>セメント改良
※添加量 40kg/m3 (③地点付近)</t>
    <rPh sb="4" eb="6">
      <t>カイリョウ</t>
    </rPh>
    <rPh sb="8" eb="10">
      <t>テンカ</t>
    </rPh>
    <rPh sb="10" eb="11">
      <t>リョウ</t>
    </rPh>
    <rPh sb="22" eb="24">
      <t>チテン</t>
    </rPh>
    <rPh sb="24" eb="26">
      <t>フキン</t>
    </rPh>
    <phoneticPr fontId="1"/>
  </si>
  <si>
    <t>路床対策工</t>
    <rPh sb="0" eb="2">
      <t>ロショウ</t>
    </rPh>
    <rPh sb="2" eb="4">
      <t>タイサク</t>
    </rPh>
    <rPh sb="4" eb="5">
      <t>コウ</t>
    </rPh>
    <phoneticPr fontId="1"/>
  </si>
  <si>
    <t>掘削①(m3)</t>
    <rPh sb="0" eb="2">
      <t>クッサク</t>
    </rPh>
    <phoneticPr fontId="1"/>
  </si>
  <si>
    <t>掘削②(m3)
※路床天端まで掘削
※</t>
    <rPh sb="0" eb="2">
      <t>クッサク</t>
    </rPh>
    <rPh sb="9" eb="11">
      <t>ロショウ</t>
    </rPh>
    <rPh sb="11" eb="13">
      <t>テンバ</t>
    </rPh>
    <rPh sb="15" eb="17">
      <t>クッサク</t>
    </rPh>
    <phoneticPr fontId="1"/>
  </si>
  <si>
    <t>対策工</t>
    <rPh sb="0" eb="2">
      <t>タイサク</t>
    </rPh>
    <rPh sb="2" eb="3">
      <t>コウ</t>
    </rPh>
    <phoneticPr fontId="1"/>
  </si>
  <si>
    <t>GL下げ（路床天端)</t>
    <rPh sb="2" eb="3">
      <t>サ</t>
    </rPh>
    <rPh sb="5" eb="7">
      <t>ロショウ</t>
    </rPh>
    <rPh sb="7" eb="9">
      <t>テンバ</t>
    </rPh>
    <phoneticPr fontId="1"/>
  </si>
  <si>
    <t>　　＜計画GL造成工＞</t>
    <rPh sb="3" eb="5">
      <t>ケイカク</t>
    </rPh>
    <rPh sb="7" eb="9">
      <t>ゾウセイ</t>
    </rPh>
    <rPh sb="9" eb="10">
      <t>コウ</t>
    </rPh>
    <phoneticPr fontId="1"/>
  </si>
  <si>
    <t>m3</t>
    <phoneticPr fontId="1"/>
  </si>
  <si>
    <t>路床盛土</t>
    <rPh sb="0" eb="2">
      <t>ロショウ</t>
    </rPh>
    <rPh sb="2" eb="4">
      <t>モリツチ</t>
    </rPh>
    <phoneticPr fontId="1"/>
  </si>
  <si>
    <t>　　　路床盛土　　</t>
    <rPh sb="3" eb="5">
      <t>ロショウ</t>
    </rPh>
    <rPh sb="5" eb="6">
      <t>モリ</t>
    </rPh>
    <rPh sb="6" eb="7">
      <t>ツチ</t>
    </rPh>
    <phoneticPr fontId="1"/>
  </si>
  <si>
    <t>　　　盛土材(山砂)</t>
    <rPh sb="3" eb="5">
      <t>モリツチ</t>
    </rPh>
    <rPh sb="5" eb="6">
      <t>ザイ</t>
    </rPh>
    <rPh sb="7" eb="9">
      <t>ヤマスナ</t>
    </rPh>
    <phoneticPr fontId="1"/>
  </si>
  <si>
    <t>路床盛土×1.2/0.9</t>
    <rPh sb="0" eb="2">
      <t>ロショウ</t>
    </rPh>
    <rPh sb="2" eb="4">
      <t>モリツチ</t>
    </rPh>
    <phoneticPr fontId="1"/>
  </si>
  <si>
    <t>計画GL造成工の数量表より</t>
    <rPh sb="0" eb="2">
      <t>ケイカク</t>
    </rPh>
    <rPh sb="4" eb="6">
      <t>ゾウセイ</t>
    </rPh>
    <rPh sb="6" eb="7">
      <t>コウ</t>
    </rPh>
    <rPh sb="8" eb="10">
      <t>スウリョウ</t>
    </rPh>
    <rPh sb="10" eb="11">
      <t>ヒョウ</t>
    </rPh>
    <phoneticPr fontId="1"/>
  </si>
  <si>
    <t>〃</t>
    <phoneticPr fontId="1"/>
  </si>
  <si>
    <t>路床対策工の数量表より</t>
    <rPh sb="0" eb="2">
      <t>ロショウ</t>
    </rPh>
    <rPh sb="2" eb="4">
      <t>タイサク</t>
    </rPh>
    <rPh sb="4" eb="5">
      <t>コウ</t>
    </rPh>
    <rPh sb="6" eb="8">
      <t>スウリョウ</t>
    </rPh>
    <rPh sb="8" eb="9">
      <t>ヒョウ</t>
    </rPh>
    <phoneticPr fontId="1"/>
  </si>
  <si>
    <t>断面積(m2)</t>
    <rPh sb="0" eb="3">
      <t>ダンメンセキ</t>
    </rPh>
    <phoneticPr fontId="1"/>
  </si>
  <si>
    <t>体積(m3)</t>
    <rPh sb="0" eb="2">
      <t>タイセキ</t>
    </rPh>
    <phoneticPr fontId="1"/>
  </si>
  <si>
    <t>自由勾配側溝
※代表断面：300×500</t>
    <rPh sb="0" eb="2">
      <t>ジユウ</t>
    </rPh>
    <rPh sb="2" eb="4">
      <t>コウバイ</t>
    </rPh>
    <rPh sb="4" eb="6">
      <t>ソッコウ</t>
    </rPh>
    <rPh sb="8" eb="10">
      <t>ダイヒョウ</t>
    </rPh>
    <rPh sb="10" eb="12">
      <t>ダンメン</t>
    </rPh>
    <phoneticPr fontId="1"/>
  </si>
  <si>
    <t>U字溝
※代表断面：U180</t>
    <rPh sb="1" eb="2">
      <t>ジ</t>
    </rPh>
    <rPh sb="2" eb="3">
      <t>ミゾ</t>
    </rPh>
    <rPh sb="5" eb="7">
      <t>ダイヒョウ</t>
    </rPh>
    <rPh sb="7" eb="9">
      <t>ダンメン</t>
    </rPh>
    <phoneticPr fontId="1"/>
  </si>
  <si>
    <t>遠心ボックスカルバート
※代表断面：φ200</t>
    <rPh sb="0" eb="2">
      <t>エンシン</t>
    </rPh>
    <rPh sb="13" eb="15">
      <t>ダイヒョウ</t>
    </rPh>
    <rPh sb="15" eb="17">
      <t>ダンメン</t>
    </rPh>
    <phoneticPr fontId="1"/>
  </si>
  <si>
    <t>塩化ビニル管
※代表断面：φ150</t>
    <rPh sb="0" eb="2">
      <t>エンカ</t>
    </rPh>
    <rPh sb="5" eb="6">
      <t>クダ</t>
    </rPh>
    <rPh sb="8" eb="10">
      <t>ダイヒョウ</t>
    </rPh>
    <rPh sb="10" eb="12">
      <t>ダンメン</t>
    </rPh>
    <phoneticPr fontId="1"/>
  </si>
  <si>
    <t>延長(m)</t>
    <rPh sb="0" eb="2">
      <t>エンチョウ</t>
    </rPh>
    <phoneticPr fontId="1"/>
  </si>
  <si>
    <t>基数(基)</t>
    <rPh sb="0" eb="2">
      <t>キスウ</t>
    </rPh>
    <rPh sb="3" eb="4">
      <t>キ</t>
    </rPh>
    <phoneticPr fontId="1"/>
  </si>
  <si>
    <t>Fb-15</t>
    <phoneticPr fontId="1"/>
  </si>
  <si>
    <t>土工図①</t>
    <rPh sb="0" eb="2">
      <t>ドコウ</t>
    </rPh>
    <rPh sb="2" eb="3">
      <t>ズ</t>
    </rPh>
    <phoneticPr fontId="1"/>
  </si>
  <si>
    <t>参照断面</t>
    <rPh sb="0" eb="2">
      <t>サンショウ</t>
    </rPh>
    <rPh sb="2" eb="4">
      <t>ダンメン</t>
    </rPh>
    <phoneticPr fontId="1"/>
  </si>
  <si>
    <t>サイン工
詳細図</t>
    <rPh sb="3" eb="4">
      <t>コウ</t>
    </rPh>
    <rPh sb="5" eb="8">
      <t>ショウサイズ</t>
    </rPh>
    <phoneticPr fontId="1"/>
  </si>
  <si>
    <t>植栽工
詳細図</t>
    <rPh sb="0" eb="2">
      <t>ショクサイ</t>
    </rPh>
    <rPh sb="2" eb="3">
      <t>コウ</t>
    </rPh>
    <rPh sb="4" eb="7">
      <t>ショウサイズ</t>
    </rPh>
    <phoneticPr fontId="1"/>
  </si>
  <si>
    <t>植栽工</t>
    <rPh sb="0" eb="2">
      <t>ショクサイ</t>
    </rPh>
    <rPh sb="2" eb="3">
      <t>コウ</t>
    </rPh>
    <phoneticPr fontId="1"/>
  </si>
  <si>
    <t>手摺り工
※独立基礎</t>
    <rPh sb="0" eb="2">
      <t>テス</t>
    </rPh>
    <rPh sb="3" eb="4">
      <t>コウ</t>
    </rPh>
    <rPh sb="6" eb="8">
      <t>ドクリツ</t>
    </rPh>
    <rPh sb="8" eb="10">
      <t>キソ</t>
    </rPh>
    <phoneticPr fontId="1"/>
  </si>
  <si>
    <t>土工図②</t>
    <rPh sb="0" eb="2">
      <t>ドコウ</t>
    </rPh>
    <rPh sb="2" eb="3">
      <t>ズ</t>
    </rPh>
    <phoneticPr fontId="1"/>
  </si>
  <si>
    <t>　埋戻し土(山砂)
　※埋戻し×1.2÷0.9</t>
    <rPh sb="1" eb="3">
      <t>ウメモド</t>
    </rPh>
    <rPh sb="4" eb="5">
      <t>ツチ</t>
    </rPh>
    <rPh sb="6" eb="8">
      <t>ヤマスナ</t>
    </rPh>
    <rPh sb="12" eb="14">
      <t>ウメモド</t>
    </rPh>
    <phoneticPr fontId="1"/>
  </si>
  <si>
    <t>　Σ 埋戻し土(山砂)</t>
    <rPh sb="3" eb="5">
      <t>ウメモド</t>
    </rPh>
    <rPh sb="6" eb="7">
      <t>ツチ</t>
    </rPh>
    <rPh sb="8" eb="10">
      <t>ヤマスナ</t>
    </rPh>
    <phoneticPr fontId="1"/>
  </si>
  <si>
    <t>ベンチ工(基礎工)</t>
    <rPh sb="3" eb="4">
      <t>コウ</t>
    </rPh>
    <rPh sb="5" eb="7">
      <t>キソ</t>
    </rPh>
    <rPh sb="7" eb="8">
      <t>コウ</t>
    </rPh>
    <phoneticPr fontId="1"/>
  </si>
  <si>
    <t>22.5÷1.2⇒(整数丸め)+1=20</t>
    <rPh sb="10" eb="12">
      <t>セイスウ</t>
    </rPh>
    <rPh sb="12" eb="13">
      <t>マル</t>
    </rPh>
    <phoneticPr fontId="1"/>
  </si>
  <si>
    <t>　Σ 床堀(小規模土工)</t>
    <rPh sb="3" eb="5">
      <t>ユカホリ</t>
    </rPh>
    <rPh sb="6" eb="9">
      <t>ショウキボ</t>
    </rPh>
    <rPh sb="9" eb="11">
      <t>ドコウ</t>
    </rPh>
    <phoneticPr fontId="1"/>
  </si>
  <si>
    <t>　Σ 埋戻し(小規模土工)</t>
    <rPh sb="3" eb="5">
      <t>ウメモド</t>
    </rPh>
    <rPh sb="7" eb="10">
      <t>ショウキボ</t>
    </rPh>
    <rPh sb="10" eb="12">
      <t>ドコウ</t>
    </rPh>
    <phoneticPr fontId="1"/>
  </si>
  <si>
    <t>　　　ｺﾝｸﾘｰﾄ  t=7cm</t>
    <phoneticPr fontId="1"/>
  </si>
  <si>
    <t>　　　下層路盤  ARC-40 t=10cm</t>
    <rPh sb="3" eb="4">
      <t>シタ</t>
    </rPh>
    <rPh sb="4" eb="5">
      <t>ソウ</t>
    </rPh>
    <rPh sb="5" eb="7">
      <t>ロバン</t>
    </rPh>
    <phoneticPr fontId="1"/>
  </si>
  <si>
    <t>　舗装工(土木)</t>
    <rPh sb="1" eb="3">
      <t>ホソウ</t>
    </rPh>
    <rPh sb="3" eb="4">
      <t>コウ</t>
    </rPh>
    <rPh sb="5" eb="7">
      <t>ドボク</t>
    </rPh>
    <phoneticPr fontId="1"/>
  </si>
  <si>
    <t>　　＜ｺﾝｸﾘｰﾄ舗装-歩行&gt;</t>
    <rPh sb="9" eb="11">
      <t>ホソウ</t>
    </rPh>
    <rPh sb="12" eb="14">
      <t>ホコウ</t>
    </rPh>
    <phoneticPr fontId="1"/>
  </si>
  <si>
    <t>　　＜ｺﾝｸﾘｰﾄ舗装-乗入＞</t>
    <rPh sb="9" eb="11">
      <t>ホソウ</t>
    </rPh>
    <rPh sb="12" eb="14">
      <t>ノリイレ</t>
    </rPh>
    <phoneticPr fontId="1"/>
  </si>
  <si>
    <t>　　　ｺﾝｸﾘｰﾄ  t=15cm</t>
    <phoneticPr fontId="1"/>
  </si>
  <si>
    <t>　　　下層路盤  ARC-40 t=15cm</t>
    <rPh sb="3" eb="4">
      <t>シタ</t>
    </rPh>
    <rPh sb="4" eb="5">
      <t>ソウ</t>
    </rPh>
    <rPh sb="5" eb="7">
      <t>ロバン</t>
    </rPh>
    <phoneticPr fontId="1"/>
  </si>
  <si>
    <t>路床対策工のGL下げの数量表より</t>
    <rPh sb="0" eb="2">
      <t>ロショウ</t>
    </rPh>
    <rPh sb="2" eb="4">
      <t>タイサク</t>
    </rPh>
    <rPh sb="4" eb="5">
      <t>コウ</t>
    </rPh>
    <rPh sb="8" eb="9">
      <t>サ</t>
    </rPh>
    <rPh sb="11" eb="13">
      <t>スウリョウ</t>
    </rPh>
    <rPh sb="13" eb="14">
      <t>ヒョウ</t>
    </rPh>
    <phoneticPr fontId="1"/>
  </si>
  <si>
    <t>　　　掘削
             ※GL下げ</t>
    <rPh sb="3" eb="5">
      <t>クッサク</t>
    </rPh>
    <rPh sb="22" eb="23">
      <t>サ</t>
    </rPh>
    <phoneticPr fontId="1"/>
  </si>
  <si>
    <t>路床対策工の置換えの数量表より</t>
    <rPh sb="0" eb="2">
      <t>ロショウ</t>
    </rPh>
    <rPh sb="2" eb="4">
      <t>タイサク</t>
    </rPh>
    <rPh sb="4" eb="5">
      <t>コウ</t>
    </rPh>
    <rPh sb="6" eb="8">
      <t>オキカ</t>
    </rPh>
    <rPh sb="10" eb="12">
      <t>スウリョウ</t>
    </rPh>
    <rPh sb="12" eb="13">
      <t>ヒョウ</t>
    </rPh>
    <phoneticPr fontId="1"/>
  </si>
  <si>
    <t>路床盛土(m3)</t>
    <rPh sb="0" eb="2">
      <t>ロショウ</t>
    </rPh>
    <rPh sb="2" eb="4">
      <t>モリツチ</t>
    </rPh>
    <phoneticPr fontId="1"/>
  </si>
  <si>
    <t>盛土材(m3)</t>
    <rPh sb="0" eb="2">
      <t>モリツチ</t>
    </rPh>
    <rPh sb="2" eb="3">
      <t>ザイ</t>
    </rPh>
    <phoneticPr fontId="1"/>
  </si>
  <si>
    <t>※盛土×1.2÷0.9</t>
    <rPh sb="1" eb="3">
      <t>モリツチ</t>
    </rPh>
    <phoneticPr fontId="1"/>
  </si>
  <si>
    <t>　　＜路床対策工ー置換え＞</t>
    <rPh sb="3" eb="5">
      <t>ロショウ</t>
    </rPh>
    <rPh sb="5" eb="7">
      <t>タイサク</t>
    </rPh>
    <rPh sb="7" eb="8">
      <t>コウ</t>
    </rPh>
    <rPh sb="9" eb="11">
      <t>オキカ</t>
    </rPh>
    <phoneticPr fontId="1"/>
  </si>
  <si>
    <t>　　＜路床対策工ー安定処理＞</t>
    <rPh sb="3" eb="5">
      <t>ロショウ</t>
    </rPh>
    <rPh sb="5" eb="7">
      <t>タイサク</t>
    </rPh>
    <rPh sb="7" eb="8">
      <t>コウ</t>
    </rPh>
    <rPh sb="9" eb="13">
      <t>アンテイショリ</t>
    </rPh>
    <phoneticPr fontId="1"/>
  </si>
  <si>
    <t>作業土工の数量表より</t>
    <rPh sb="0" eb="2">
      <t>サギョウ</t>
    </rPh>
    <rPh sb="2" eb="4">
      <t>ドコウ</t>
    </rPh>
    <rPh sb="5" eb="8">
      <t>スウリョウヒョウ</t>
    </rPh>
    <phoneticPr fontId="1"/>
  </si>
  <si>
    <t>　　　床堀
　　　※小規模</t>
    <rPh sb="3" eb="4">
      <t>ユカ</t>
    </rPh>
    <rPh sb="4" eb="5">
      <t>ホリ</t>
    </rPh>
    <rPh sb="10" eb="13">
      <t>ショウキボ</t>
    </rPh>
    <phoneticPr fontId="4"/>
  </si>
  <si>
    <t>　　　埋め戻し
  　     ※(小規模)
　　　※転用</t>
    <rPh sb="3" eb="4">
      <t>ウ</t>
    </rPh>
    <rPh sb="5" eb="6">
      <t>モド</t>
    </rPh>
    <rPh sb="18" eb="21">
      <t>ショウキボ</t>
    </rPh>
    <rPh sb="27" eb="29">
      <t>テンヨウ</t>
    </rPh>
    <phoneticPr fontId="1"/>
  </si>
  <si>
    <t xml:space="preserve">　　　埋め戻し材(山砂) </t>
    <rPh sb="3" eb="4">
      <t>ウ</t>
    </rPh>
    <rPh sb="5" eb="6">
      <t>モド</t>
    </rPh>
    <rPh sb="7" eb="8">
      <t>ザイ</t>
    </rPh>
    <rPh sb="9" eb="11">
      <t>ヤマスナ</t>
    </rPh>
    <phoneticPr fontId="1"/>
  </si>
  <si>
    <t>排水構造物調書より</t>
    <rPh sb="0" eb="2">
      <t>ハイスイ</t>
    </rPh>
    <rPh sb="2" eb="5">
      <t>コウゾウブツ</t>
    </rPh>
    <rPh sb="5" eb="7">
      <t>チョウショ</t>
    </rPh>
    <phoneticPr fontId="1"/>
  </si>
  <si>
    <t>〃</t>
    <phoneticPr fontId="1"/>
  </si>
  <si>
    <t>桝調書より</t>
    <rPh sb="0" eb="1">
      <t>マス</t>
    </rPh>
    <rPh sb="1" eb="3">
      <t>チョウショ</t>
    </rPh>
    <phoneticPr fontId="1"/>
  </si>
  <si>
    <t>　　　U180</t>
    <phoneticPr fontId="1"/>
  </si>
  <si>
    <t xml:space="preserve">    　   U250</t>
    <phoneticPr fontId="1"/>
  </si>
  <si>
    <t>　　　上記GR蓋（落ち蓋式 L=0.5m)</t>
    <rPh sb="3" eb="5">
      <t>ジョウキ</t>
    </rPh>
    <rPh sb="7" eb="8">
      <t>フタ</t>
    </rPh>
    <rPh sb="9" eb="10">
      <t>オ</t>
    </rPh>
    <rPh sb="11" eb="12">
      <t>フタ</t>
    </rPh>
    <rPh sb="12" eb="13">
      <t>シキ</t>
    </rPh>
    <phoneticPr fontId="1"/>
  </si>
  <si>
    <t>　　　VS300×300</t>
    <phoneticPr fontId="1"/>
  </si>
  <si>
    <t>　　　VS300×400</t>
    <phoneticPr fontId="1"/>
  </si>
  <si>
    <t>　　　VS300×500</t>
    <phoneticPr fontId="1"/>
  </si>
  <si>
    <t>　　　VS300×600</t>
    <phoneticPr fontId="1"/>
  </si>
  <si>
    <t>　　　VS300×700</t>
    <phoneticPr fontId="1"/>
  </si>
  <si>
    <t>　　　VS300×800</t>
    <phoneticPr fontId="1"/>
  </si>
  <si>
    <t>　　　VS300×900</t>
    <phoneticPr fontId="1"/>
  </si>
  <si>
    <t>　　　VS300×1000</t>
    <phoneticPr fontId="1"/>
  </si>
  <si>
    <t>　　　VS300×1100</t>
    <phoneticPr fontId="1"/>
  </si>
  <si>
    <t>　　　上記CO蓋（落ち蓋式 L=0.5m)</t>
    <rPh sb="3" eb="5">
      <t>ジョウキ</t>
    </rPh>
    <rPh sb="7" eb="8">
      <t>フタ</t>
    </rPh>
    <rPh sb="9" eb="10">
      <t>オ</t>
    </rPh>
    <rPh sb="11" eb="12">
      <t>フタ</t>
    </rPh>
    <rPh sb="12" eb="13">
      <t>シキ</t>
    </rPh>
    <phoneticPr fontId="1"/>
  </si>
  <si>
    <t xml:space="preserve">      　 VS300×300(横断用)</t>
    <rPh sb="18" eb="20">
      <t>オウダン</t>
    </rPh>
    <rPh sb="20" eb="21">
      <t>ヨウ</t>
    </rPh>
    <phoneticPr fontId="1"/>
  </si>
  <si>
    <t xml:space="preserve">    　   VS300×400(横断用)</t>
    <rPh sb="18" eb="20">
      <t>オウダン</t>
    </rPh>
    <rPh sb="20" eb="21">
      <t>ヨウ</t>
    </rPh>
    <phoneticPr fontId="1"/>
  </si>
  <si>
    <t xml:space="preserve">    　   VS300×500(横断用)</t>
    <rPh sb="18" eb="20">
      <t>オウダン</t>
    </rPh>
    <rPh sb="20" eb="21">
      <t>ヨウ</t>
    </rPh>
    <phoneticPr fontId="1"/>
  </si>
  <si>
    <t xml:space="preserve">       　上記GR蓋 (落ち蓋式 L=1.0m)</t>
    <rPh sb="8" eb="10">
      <t>ジョウキ</t>
    </rPh>
    <rPh sb="12" eb="13">
      <t>フタ</t>
    </rPh>
    <rPh sb="15" eb="16">
      <t>オ</t>
    </rPh>
    <rPh sb="17" eb="18">
      <t>フタ</t>
    </rPh>
    <rPh sb="18" eb="19">
      <t>シキ</t>
    </rPh>
    <phoneticPr fontId="1"/>
  </si>
  <si>
    <t xml:space="preserve">　　　ｲﾝﾊﾞｰﾄ </t>
    <phoneticPr fontId="1"/>
  </si>
  <si>
    <t>　　　CSBΦ150</t>
    <phoneticPr fontId="1"/>
  </si>
  <si>
    <t>　　　CSBΦ200</t>
    <phoneticPr fontId="1"/>
  </si>
  <si>
    <t>　　　CSBΦ250</t>
    <phoneticPr fontId="1"/>
  </si>
  <si>
    <t xml:space="preserve">   　     VPΦ150</t>
    <phoneticPr fontId="1"/>
  </si>
  <si>
    <t xml:space="preserve">    　    VPφ200</t>
    <phoneticPr fontId="1"/>
  </si>
  <si>
    <t>　　　500×500×400（細目Gr T-14t)</t>
    <rPh sb="15" eb="17">
      <t>ホソメ</t>
    </rPh>
    <phoneticPr fontId="1"/>
  </si>
  <si>
    <t>　　　500×500×500（細目Gr T-14t)</t>
    <rPh sb="15" eb="17">
      <t>ホソメ</t>
    </rPh>
    <phoneticPr fontId="1"/>
  </si>
  <si>
    <t>　　　500×500×600（細目Gr T-14t)</t>
    <rPh sb="15" eb="17">
      <t>ホソメ</t>
    </rPh>
    <phoneticPr fontId="1"/>
  </si>
  <si>
    <t>　　　500×500×800（細目Gr T-14t)</t>
    <rPh sb="15" eb="17">
      <t>ホソメ</t>
    </rPh>
    <phoneticPr fontId="1"/>
  </si>
  <si>
    <t>　　　500×500×900（細目Gr T-14t)</t>
    <rPh sb="15" eb="17">
      <t>ホソメ</t>
    </rPh>
    <phoneticPr fontId="1"/>
  </si>
  <si>
    <t>　　　500×500×1000（細目Gr T-14t)</t>
    <rPh sb="16" eb="18">
      <t>ホソメ</t>
    </rPh>
    <phoneticPr fontId="1"/>
  </si>
  <si>
    <t>　　　500×500×1200（細目Gr T-14t)</t>
    <rPh sb="16" eb="18">
      <t>ホソメ</t>
    </rPh>
    <phoneticPr fontId="1"/>
  </si>
  <si>
    <t>　　　塩ビ桝 Φ200 H600  (鋳鉄蓋)</t>
    <rPh sb="3" eb="4">
      <t>エン</t>
    </rPh>
    <rPh sb="5" eb="6">
      <t>マス</t>
    </rPh>
    <rPh sb="19" eb="21">
      <t>チュウテツ</t>
    </rPh>
    <rPh sb="21" eb="22">
      <t>フタ</t>
    </rPh>
    <phoneticPr fontId="1"/>
  </si>
  <si>
    <t>　　　塩ビ桝 Φ200 H400  (鋳鉄蓋)</t>
    <rPh sb="3" eb="4">
      <t>エン</t>
    </rPh>
    <rPh sb="5" eb="6">
      <t>マス</t>
    </rPh>
    <rPh sb="19" eb="21">
      <t>チュウテツ</t>
    </rPh>
    <rPh sb="21" eb="22">
      <t>フタ</t>
    </rPh>
    <phoneticPr fontId="1"/>
  </si>
  <si>
    <t>計画平面図より</t>
    <rPh sb="0" eb="2">
      <t>ケイカク</t>
    </rPh>
    <rPh sb="2" eb="5">
      <t>ヘイメンズ</t>
    </rPh>
    <phoneticPr fontId="1"/>
  </si>
  <si>
    <t>　　　看板(1200×650 t=2mm)
　　　※デザイン未定</t>
    <rPh sb="3" eb="5">
      <t>カンバン</t>
    </rPh>
    <rPh sb="30" eb="32">
      <t>ミテイ</t>
    </rPh>
    <phoneticPr fontId="1"/>
  </si>
  <si>
    <t>　　　サクラ　H=5.0m
　　　※暫定樹種</t>
    <rPh sb="18" eb="20">
      <t>ザンテイ</t>
    </rPh>
    <rPh sb="20" eb="22">
      <t>ジュシュ</t>
    </rPh>
    <phoneticPr fontId="1"/>
  </si>
  <si>
    <t>植栽工 詳細図より</t>
    <rPh sb="0" eb="2">
      <t>ショクサイ</t>
    </rPh>
    <rPh sb="2" eb="3">
      <t>コウ</t>
    </rPh>
    <rPh sb="4" eb="7">
      <t>ショウサイズ</t>
    </rPh>
    <phoneticPr fontId="1"/>
  </si>
  <si>
    <t>舗装計画平面図より
280×0.07=19.6</t>
    <rPh sb="0" eb="2">
      <t>ホソウ</t>
    </rPh>
    <rPh sb="2" eb="4">
      <t>ケイカク</t>
    </rPh>
    <rPh sb="4" eb="7">
      <t>ヘイメンズ</t>
    </rPh>
    <phoneticPr fontId="1"/>
  </si>
  <si>
    <t>舗装計画平面図より
30×0.15=4.5m3</t>
    <rPh sb="0" eb="2">
      <t>ホソウ</t>
    </rPh>
    <rPh sb="2" eb="4">
      <t>ケイカク</t>
    </rPh>
    <rPh sb="4" eb="7">
      <t>ヘイメンズ</t>
    </rPh>
    <phoneticPr fontId="1"/>
  </si>
  <si>
    <t>　</t>
    <phoneticPr fontId="1"/>
  </si>
  <si>
    <t>　　　路床安定処理 (12kg/m2)
　　　※t=30cm</t>
    <rPh sb="3" eb="5">
      <t>ロショウ</t>
    </rPh>
    <rPh sb="5" eb="7">
      <t>アンテイ</t>
    </rPh>
    <rPh sb="7" eb="9">
      <t>ショリ</t>
    </rPh>
    <phoneticPr fontId="1"/>
  </si>
  <si>
    <t xml:space="preserve">     　  上記GR蓋(U字溝用つば付き 細目T-6)
            L=1000</t>
    <rPh sb="8" eb="10">
      <t>ジョウキ</t>
    </rPh>
    <rPh sb="12" eb="13">
      <t>フタ</t>
    </rPh>
    <rPh sb="15" eb="16">
      <t>ジ</t>
    </rPh>
    <rPh sb="16" eb="17">
      <t>ミゾ</t>
    </rPh>
    <rPh sb="17" eb="18">
      <t>ヨウ</t>
    </rPh>
    <rPh sb="20" eb="21">
      <t>ツ</t>
    </rPh>
    <rPh sb="23" eb="25">
      <t>ホソメ</t>
    </rPh>
    <phoneticPr fontId="1"/>
  </si>
  <si>
    <t>　　　Co製ベンチ (L=11.45m)
            ※材工共</t>
    <rPh sb="5" eb="6">
      <t>セイ</t>
    </rPh>
    <rPh sb="34" eb="36">
      <t>ザイコウ</t>
    </rPh>
    <rPh sb="36" eb="37">
      <t>トモ</t>
    </rPh>
    <phoneticPr fontId="1"/>
  </si>
  <si>
    <t>　　　Co製ベンチ (L=11.40m)
            ※材工共</t>
    <rPh sb="5" eb="6">
      <t>セイ</t>
    </rPh>
    <rPh sb="34" eb="36">
      <t>ザイコウ</t>
    </rPh>
    <rPh sb="36" eb="37">
      <t>トモ</t>
    </rPh>
    <phoneticPr fontId="1"/>
  </si>
  <si>
    <t>　　　Co製ベンチ (L=13.20m)
            ※材工共</t>
    <rPh sb="5" eb="6">
      <t>セイ</t>
    </rPh>
    <rPh sb="34" eb="36">
      <t>ザイコウ</t>
    </rPh>
    <rPh sb="36" eb="37">
      <t>トモ</t>
    </rPh>
    <phoneticPr fontId="1"/>
  </si>
  <si>
    <t>　　　ベンチ基礎
            ※4基分</t>
    <rPh sb="6" eb="8">
      <t>キソ</t>
    </rPh>
    <rPh sb="23" eb="25">
      <t>キブン</t>
    </rPh>
    <phoneticPr fontId="1"/>
  </si>
  <si>
    <t>m</t>
    <phoneticPr fontId="1"/>
  </si>
  <si>
    <t xml:space="preserve">　　　ｸﾞﾚｰﾁﾝｸﾞ蓋つきｽﾘｯﾄ側溝 
            W=100、H=150  ※受枠込み          </t>
    <rPh sb="11" eb="12">
      <t>フタ</t>
    </rPh>
    <rPh sb="18" eb="20">
      <t>ソッコウ</t>
    </rPh>
    <rPh sb="48" eb="50">
      <t>ウケワク</t>
    </rPh>
    <rPh sb="50" eb="51">
      <t>コ</t>
    </rPh>
    <phoneticPr fontId="1"/>
  </si>
  <si>
    <t>手摺り詳細図より</t>
    <rPh sb="0" eb="2">
      <t>テス</t>
    </rPh>
    <rPh sb="3" eb="6">
      <t>ショウサイズ</t>
    </rPh>
    <phoneticPr fontId="1"/>
  </si>
  <si>
    <t>　　　土砂等運搬　</t>
    <rPh sb="3" eb="5">
      <t>ドシャ</t>
    </rPh>
    <rPh sb="5" eb="6">
      <t>トウ</t>
    </rPh>
    <rPh sb="6" eb="8">
      <t>ウンパン</t>
    </rPh>
    <phoneticPr fontId="4"/>
  </si>
  <si>
    <t>　　　残土処分</t>
    <rPh sb="3" eb="7">
      <t>ザンドショブン</t>
    </rPh>
    <phoneticPr fontId="1"/>
  </si>
  <si>
    <t>m3</t>
    <phoneticPr fontId="1"/>
  </si>
  <si>
    <t>路床対策工の置換えの数量表より</t>
    <rPh sb="0" eb="2">
      <t>ロショウ</t>
    </rPh>
    <rPh sb="2" eb="4">
      <t>タイサク</t>
    </rPh>
    <rPh sb="4" eb="5">
      <t>コウ</t>
    </rPh>
    <rPh sb="6" eb="8">
      <t>オキカ</t>
    </rPh>
    <rPh sb="10" eb="12">
      <t>スウリョウ</t>
    </rPh>
    <rPh sb="12" eb="13">
      <t>ヒョウ</t>
    </rPh>
    <phoneticPr fontId="1"/>
  </si>
  <si>
    <t>・コンクリート 0.10m3
・型枠 A=0.96m2
・基礎砕石(t=10cm) A=0.16m2
※個数=7.4÷2.0⇒(整数まるめ)+1=5</t>
    <rPh sb="16" eb="18">
      <t>カタワク</t>
    </rPh>
    <rPh sb="29" eb="31">
      <t>キソ</t>
    </rPh>
    <rPh sb="31" eb="33">
      <t>サイセキ</t>
    </rPh>
    <rPh sb="52" eb="54">
      <t>コスウ</t>
    </rPh>
    <rPh sb="64" eb="66">
      <t>セイスウ</t>
    </rPh>
    <phoneticPr fontId="1"/>
  </si>
  <si>
    <t>　間詰めCo</t>
    <rPh sb="1" eb="2">
      <t>アイダ</t>
    </rPh>
    <rPh sb="2" eb="3">
      <t>ツ</t>
    </rPh>
    <phoneticPr fontId="1"/>
  </si>
  <si>
    <t>　Σ 間詰めCo</t>
    <rPh sb="3" eb="5">
      <t>アイダツ</t>
    </rPh>
    <phoneticPr fontId="1"/>
  </si>
  <si>
    <t>　　　間詰めCo</t>
    <rPh sb="3" eb="4">
      <t>アイダ</t>
    </rPh>
    <rPh sb="4" eb="5">
      <t>ツ</t>
    </rPh>
    <phoneticPr fontId="1"/>
  </si>
  <si>
    <t>m3</t>
    <phoneticPr fontId="1"/>
  </si>
  <si>
    <t>桝
※代表断面：500×500×500</t>
    <rPh sb="0" eb="1">
      <t>マス</t>
    </rPh>
    <rPh sb="3" eb="5">
      <t>ダイヒョウ</t>
    </rPh>
    <rPh sb="5" eb="7">
      <t>ダンメン</t>
    </rPh>
    <phoneticPr fontId="1"/>
  </si>
  <si>
    <t>サイン工
※代表ｻｲｽﾞ：1200*650 t=2mm</t>
    <rPh sb="3" eb="4">
      <t>コウ</t>
    </rPh>
    <rPh sb="6" eb="8">
      <t>ダイヒョウ</t>
    </rPh>
    <phoneticPr fontId="1"/>
  </si>
  <si>
    <t>　　　縁石（歩車道境界ﾌﾞﾛｯｸ Fb-15)</t>
    <rPh sb="3" eb="5">
      <t>エンセキ</t>
    </rPh>
    <rPh sb="6" eb="8">
      <t>ホシャ</t>
    </rPh>
    <rPh sb="8" eb="9">
      <t>ミチ</t>
    </rPh>
    <rPh sb="9" eb="11">
      <t>キョウカイ</t>
    </rPh>
    <phoneticPr fontId="1"/>
  </si>
  <si>
    <t>床堀-埋戻し+埋め戻し材+間詰めCo</t>
    <rPh sb="0" eb="2">
      <t>ユカホリ</t>
    </rPh>
    <rPh sb="3" eb="5">
      <t>ウメモド</t>
    </rPh>
    <rPh sb="7" eb="8">
      <t>ウ</t>
    </rPh>
    <rPh sb="9" eb="10">
      <t>モド</t>
    </rPh>
    <rPh sb="11" eb="12">
      <t>ザイ</t>
    </rPh>
    <rPh sb="13" eb="14">
      <t>アイダ</t>
    </rPh>
    <rPh sb="14" eb="15">
      <t>ツ</t>
    </rPh>
    <phoneticPr fontId="1"/>
  </si>
  <si>
    <t>ｸﾞﾚｰﾁﾝｸﾞ付きｽﾘｯﾄ側溝</t>
    <rPh sb="8" eb="9">
      <t>ツ</t>
    </rPh>
    <rPh sb="14" eb="16">
      <t>ソッコウ</t>
    </rPh>
    <phoneticPr fontId="1"/>
  </si>
  <si>
    <t>W100 H150</t>
    <phoneticPr fontId="1"/>
  </si>
  <si>
    <t>1.8+1.8</t>
    <phoneticPr fontId="1"/>
  </si>
  <si>
    <t>※微小な断面なため、土工数量をなしとする。</t>
    <rPh sb="1" eb="3">
      <t>ビショウ</t>
    </rPh>
    <rPh sb="4" eb="6">
      <t>ダンメン</t>
    </rPh>
    <rPh sb="10" eb="12">
      <t>ドコウ</t>
    </rPh>
    <rPh sb="12" eb="14">
      <t>スウリョウ</t>
    </rPh>
    <phoneticPr fontId="1"/>
  </si>
  <si>
    <t>〃
※中詰めCO：0.62*0.62×0.06=0.02m3</t>
    <rPh sb="3" eb="4">
      <t>ナカ</t>
    </rPh>
    <rPh sb="4" eb="5">
      <t>ツ</t>
    </rPh>
    <phoneticPr fontId="1"/>
  </si>
  <si>
    <t>　　　500×500×400   (Co 覆工板ﾀｲﾌﾟ)</t>
    <rPh sb="21" eb="23">
      <t>フッコウ</t>
    </rPh>
    <rPh sb="23" eb="24">
      <t>イタ</t>
    </rPh>
    <phoneticPr fontId="1"/>
  </si>
  <si>
    <t>　　　500×500×500  (Co 覆工板ﾀｲﾌﾟ)</t>
    <phoneticPr fontId="1"/>
  </si>
  <si>
    <t>　　　500×500×600   (Co 覆工板ﾀｲﾌﾟ)</t>
    <phoneticPr fontId="1"/>
  </si>
  <si>
    <t>10.5m</t>
    <phoneticPr fontId="1"/>
  </si>
  <si>
    <t>枚</t>
    <rPh sb="0" eb="1">
      <t>マイ</t>
    </rPh>
    <phoneticPr fontId="1"/>
  </si>
  <si>
    <t>上記Gr 蓋
（細目Gr L=1.0m）</t>
    <rPh sb="0" eb="2">
      <t>ジョウキ</t>
    </rPh>
    <rPh sb="5" eb="6">
      <t>フタ</t>
    </rPh>
    <rPh sb="8" eb="10">
      <t>ホソメ</t>
    </rPh>
    <phoneticPr fontId="1"/>
  </si>
  <si>
    <t>上記Gr 蓋
（耳付き-細目Gr L=1.0m）</t>
    <rPh sb="0" eb="2">
      <t>ジョウキ</t>
    </rPh>
    <rPh sb="5" eb="6">
      <t>フタ</t>
    </rPh>
    <rPh sb="8" eb="10">
      <t>ミミツ</t>
    </rPh>
    <rPh sb="12" eb="14">
      <t>ホソメ</t>
    </rPh>
    <phoneticPr fontId="1"/>
  </si>
  <si>
    <t>　　　上記GR蓋(落蓋式U型側溝用-細目 T-14)
            L=1000</t>
    <rPh sb="3" eb="5">
      <t>ジョウキ</t>
    </rPh>
    <rPh sb="7" eb="8">
      <t>フタ</t>
    </rPh>
    <rPh sb="9" eb="10">
      <t>オ</t>
    </rPh>
    <rPh sb="10" eb="11">
      <t>フタ</t>
    </rPh>
    <rPh sb="11" eb="12">
      <t>シキ</t>
    </rPh>
    <rPh sb="13" eb="14">
      <t>ガタ</t>
    </rPh>
    <rPh sb="14" eb="16">
      <t>ソッコウ</t>
    </rPh>
    <rPh sb="16" eb="17">
      <t>ヨウ</t>
    </rPh>
    <rPh sb="18" eb="20">
      <t>ホソメ</t>
    </rPh>
    <phoneticPr fontId="1"/>
  </si>
  <si>
    <t xml:space="preserve">深さ(m)
※0.05+0.15
（舗装厚分) </t>
    <rPh sb="0" eb="1">
      <t>フカ</t>
    </rPh>
    <rPh sb="18" eb="20">
      <t>ホソウ</t>
    </rPh>
    <rPh sb="20" eb="21">
      <t>アツ</t>
    </rPh>
    <rPh sb="21" eb="22">
      <t>ブン</t>
    </rPh>
    <phoneticPr fontId="1"/>
  </si>
  <si>
    <t>2.0+2.0+11.35+9.0+19.1+7.4</t>
    <phoneticPr fontId="1"/>
  </si>
  <si>
    <t>4.5+6.3+5.1+5.5+5.7+5.7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</si>
</sst>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8" formatCode="0.00_ "/>
    <numFmt numFmtId="180" formatCode="0_);[Red]\(0\)"/>
    <numFmt numFmtId="181" formatCode="0_ "/>
    <numFmt numFmtId="183" formatCode="0.00\ &quot;m&quot;"/>
    <numFmt numFmtId="184" formatCode="0.00\ &quot; m&quot;"/>
    <numFmt numFmtId="185" formatCode="0.00&quot; 枚&quot;"/>
    <numFmt numFmtId="186" formatCode="0.00_ &quot;m3&quot;"/>
    <numFmt numFmtId="187" formatCode="&quot;■Coベンチ L= &quot;0.00&quot; m&quot;"/>
    <numFmt numFmtId="188" formatCode="0.0_);[Red]\(0.0\)"/>
  </numFmts>
  <fonts count="2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.5"/>
      <color rgb="FFFF0000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10.5"/>
      <color rgb="FF00B05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b/>
      <sz val="10.5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1"/>
      <color theme="1"/>
      <name val="游ゴシック"/>
      <family val="2"/>
      <charset val="128"/>
      <scheme val="minor"/>
    </font>
    <font>
      <b/>
      <sz val="20"/>
      <color theme="1"/>
      <name val="メイリオ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2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/>
    </xf>
    <xf numFmtId="0" fontId="10" fillId="2" borderId="0" xfId="1" applyFont="1" applyFill="1" applyAlignment="1">
      <alignment vertical="center"/>
    </xf>
    <xf numFmtId="0" fontId="7" fillId="0" borderId="2" xfId="1" applyFont="1" applyFill="1" applyBorder="1" applyAlignment="1">
      <alignment vertical="center" wrapText="1"/>
    </xf>
    <xf numFmtId="0" fontId="6" fillId="0" borderId="5" xfId="1" applyFont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0" xfId="0" applyBorder="1">
      <alignment vertical="center"/>
    </xf>
    <xf numFmtId="181" fontId="6" fillId="0" borderId="2" xfId="1" applyNumberFormat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2" fillId="0" borderId="4" xfId="0" applyFont="1" applyBorder="1">
      <alignment vertical="center"/>
    </xf>
    <xf numFmtId="0" fontId="13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/>
    </xf>
    <xf numFmtId="0" fontId="12" fillId="0" borderId="5" xfId="1" applyFont="1" applyFill="1" applyBorder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6" fillId="0" borderId="5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/>
    </xf>
    <xf numFmtId="178" fontId="6" fillId="0" borderId="3" xfId="1" applyNumberFormat="1" applyFont="1" applyBorder="1" applyAlignment="1">
      <alignment horizontal="center" vertical="center"/>
    </xf>
    <xf numFmtId="0" fontId="6" fillId="0" borderId="11" xfId="1" applyFont="1" applyFill="1" applyBorder="1" applyAlignment="1">
      <alignment vertical="center" wrapText="1"/>
    </xf>
    <xf numFmtId="0" fontId="6" fillId="0" borderId="12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7" fillId="2" borderId="11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vertical="center" wrapText="1"/>
    </xf>
    <xf numFmtId="0" fontId="16" fillId="0" borderId="2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vertical="center" wrapText="1"/>
    </xf>
    <xf numFmtId="181" fontId="13" fillId="0" borderId="2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16" fillId="0" borderId="5" xfId="1" applyFont="1" applyFill="1" applyBorder="1" applyAlignment="1">
      <alignment vertical="center" wrapText="1"/>
    </xf>
    <xf numFmtId="0" fontId="13" fillId="0" borderId="9" xfId="1" applyFont="1" applyFill="1" applyBorder="1" applyAlignment="1">
      <alignment vertical="center" wrapText="1"/>
    </xf>
    <xf numFmtId="180" fontId="13" fillId="0" borderId="11" xfId="1" applyNumberFormat="1" applyFont="1" applyFill="1" applyBorder="1" applyAlignment="1">
      <alignment vertical="center" wrapText="1"/>
    </xf>
    <xf numFmtId="0" fontId="13" fillId="0" borderId="13" xfId="1" applyFont="1" applyFill="1" applyBorder="1" applyAlignment="1">
      <alignment vertical="center"/>
    </xf>
    <xf numFmtId="0" fontId="13" fillId="0" borderId="11" xfId="1" applyFont="1" applyFill="1" applyBorder="1" applyAlignment="1">
      <alignment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2" xfId="0" applyFont="1" applyBorder="1">
      <alignment vertical="center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19" fillId="0" borderId="3" xfId="0" applyFont="1" applyBorder="1">
      <alignment vertical="center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>
      <alignment vertical="center"/>
    </xf>
    <xf numFmtId="0" fontId="20" fillId="0" borderId="3" xfId="0" applyFont="1" applyBorder="1">
      <alignment vertical="center"/>
    </xf>
    <xf numFmtId="2" fontId="19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/>
    </xf>
    <xf numFmtId="184" fontId="19" fillId="0" borderId="5" xfId="0" applyNumberFormat="1" applyFont="1" applyBorder="1" applyAlignment="1">
      <alignment horizontal="left" vertical="center"/>
    </xf>
    <xf numFmtId="183" fontId="19" fillId="0" borderId="5" xfId="0" applyNumberFormat="1" applyFont="1" applyBorder="1" applyAlignment="1">
      <alignment horizontal="left" vertical="center"/>
    </xf>
    <xf numFmtId="185" fontId="19" fillId="0" borderId="5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center"/>
    </xf>
    <xf numFmtId="185" fontId="19" fillId="0" borderId="3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3" xfId="0" applyNumberFormat="1" applyFont="1" applyBorder="1">
      <alignment vertical="center"/>
    </xf>
    <xf numFmtId="0" fontId="6" fillId="0" borderId="5" xfId="1" applyFont="1" applyFill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9" fillId="0" borderId="12" xfId="0" applyFont="1" applyBorder="1" applyAlignment="1">
      <alignment horizontal="right" vertical="center"/>
    </xf>
    <xf numFmtId="0" fontId="19" fillId="0" borderId="14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178" fontId="19" fillId="0" borderId="5" xfId="0" applyNumberFormat="1" applyFont="1" applyBorder="1" applyAlignment="1">
      <alignment horizontal="center" vertical="center"/>
    </xf>
    <xf numFmtId="178" fontId="19" fillId="0" borderId="3" xfId="0" applyNumberFormat="1" applyFont="1" applyBorder="1" applyAlignment="1">
      <alignment horizontal="center" vertical="center"/>
    </xf>
    <xf numFmtId="178" fontId="19" fillId="0" borderId="0" xfId="0" applyNumberFormat="1" applyFont="1">
      <alignment vertical="center"/>
    </xf>
    <xf numFmtId="0" fontId="19" fillId="0" borderId="1" xfId="0" applyFont="1" applyFill="1" applyBorder="1" applyAlignment="1">
      <alignment horizontal="center" vertical="center"/>
    </xf>
    <xf numFmtId="186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4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187" fontId="20" fillId="0" borderId="0" xfId="0" applyNumberFormat="1" applyFont="1" applyAlignment="1">
      <alignment horizontal="left" vertical="center"/>
    </xf>
    <xf numFmtId="178" fontId="2" fillId="0" borderId="5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9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horizontal="left" vertical="center"/>
    </xf>
    <xf numFmtId="180" fontId="6" fillId="0" borderId="11" xfId="1" applyNumberFormat="1" applyFont="1" applyFill="1" applyBorder="1" applyAlignment="1">
      <alignment horizontal="right" vertical="center" wrapText="1"/>
    </xf>
    <xf numFmtId="0" fontId="6" fillId="0" borderId="5" xfId="1" applyFont="1" applyBorder="1" applyAlignment="1">
      <alignment horizontal="center" vertical="center"/>
    </xf>
    <xf numFmtId="180" fontId="6" fillId="0" borderId="11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0" fillId="0" borderId="2" xfId="0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2" xfId="0" applyBorder="1">
      <alignment vertical="center"/>
    </xf>
    <xf numFmtId="0" fontId="25" fillId="0" borderId="0" xfId="0" applyFo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178" fontId="11" fillId="0" borderId="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12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88" fontId="13" fillId="0" borderId="11" xfId="1" applyNumberFormat="1" applyFont="1" applyFill="1" applyBorder="1" applyAlignment="1">
      <alignment vertical="center" wrapText="1"/>
    </xf>
    <xf numFmtId="178" fontId="7" fillId="2" borderId="3" xfId="1" applyNumberFormat="1" applyFont="1" applyFill="1" applyBorder="1" applyAlignment="1">
      <alignment horizontal="center" vertical="center" wrapText="1"/>
    </xf>
    <xf numFmtId="178" fontId="7" fillId="2" borderId="13" xfId="1" applyNumberFormat="1" applyFont="1" applyFill="1" applyBorder="1" applyAlignment="1">
      <alignment horizontal="center" vertical="center" wrapText="1"/>
    </xf>
    <xf numFmtId="181" fontId="13" fillId="0" borderId="13" xfId="1" applyNumberFormat="1" applyFont="1" applyFill="1" applyBorder="1" applyAlignment="1">
      <alignment horizontal="center" vertical="center" wrapText="1"/>
    </xf>
    <xf numFmtId="181" fontId="13" fillId="0" borderId="3" xfId="1" applyNumberFormat="1" applyFont="1" applyFill="1" applyBorder="1" applyAlignment="1">
      <alignment horizontal="center" vertical="center" wrapText="1"/>
    </xf>
    <xf numFmtId="178" fontId="13" fillId="0" borderId="3" xfId="1" applyNumberFormat="1" applyFont="1" applyFill="1" applyBorder="1" applyAlignment="1">
      <alignment horizontal="center" vertical="center" wrapText="1"/>
    </xf>
    <xf numFmtId="180" fontId="13" fillId="0" borderId="3" xfId="1" applyNumberFormat="1" applyFont="1" applyFill="1" applyBorder="1" applyAlignment="1">
      <alignment horizontal="center" vertical="center" wrapText="1"/>
    </xf>
    <xf numFmtId="178" fontId="6" fillId="0" borderId="13" xfId="1" applyNumberFormat="1" applyFont="1" applyFill="1" applyBorder="1" applyAlignment="1">
      <alignment horizontal="center" vertical="center" wrapText="1"/>
    </xf>
    <xf numFmtId="178" fontId="6" fillId="0" borderId="3" xfId="1" applyNumberFormat="1" applyFont="1" applyFill="1" applyBorder="1" applyAlignment="1">
      <alignment horizontal="center" vertical="center" wrapText="1"/>
    </xf>
    <xf numFmtId="181" fontId="6" fillId="0" borderId="3" xfId="1" applyNumberFormat="1" applyFont="1" applyFill="1" applyBorder="1" applyAlignment="1">
      <alignment horizontal="center" vertical="center" wrapText="1"/>
    </xf>
    <xf numFmtId="178" fontId="6" fillId="0" borderId="8" xfId="1" applyNumberFormat="1" applyFont="1" applyFill="1" applyBorder="1" applyAlignment="1">
      <alignment horizontal="center" vertical="center" wrapText="1"/>
    </xf>
    <xf numFmtId="178" fontId="6" fillId="0" borderId="1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178" fontId="6" fillId="0" borderId="0" xfId="1" applyNumberFormat="1" applyFont="1" applyFill="1" applyAlignment="1">
      <alignment horizontal="center" vertical="center"/>
    </xf>
    <xf numFmtId="178" fontId="7" fillId="2" borderId="5" xfId="1" applyNumberFormat="1" applyFont="1" applyFill="1" applyBorder="1" applyAlignment="1">
      <alignment horizontal="center" vertical="center" wrapText="1"/>
    </xf>
    <xf numFmtId="178" fontId="6" fillId="0" borderId="2" xfId="1" applyNumberFormat="1" applyFont="1" applyFill="1" applyBorder="1" applyAlignment="1">
      <alignment horizontal="center" vertical="center" wrapText="1"/>
    </xf>
    <xf numFmtId="178" fontId="6" fillId="0" borderId="5" xfId="1" applyNumberFormat="1" applyFont="1" applyFill="1" applyBorder="1" applyAlignment="1">
      <alignment horizontal="center" vertical="center" wrapText="1"/>
    </xf>
    <xf numFmtId="178" fontId="6" fillId="2" borderId="5" xfId="1" applyNumberFormat="1" applyFont="1" applyFill="1" applyBorder="1" applyAlignment="1">
      <alignment horizontal="center" vertical="center" wrapText="1"/>
    </xf>
    <xf numFmtId="178" fontId="6" fillId="0" borderId="0" xfId="1" applyNumberFormat="1" applyFont="1" applyAlignment="1">
      <alignment horizontal="center" vertical="center"/>
    </xf>
    <xf numFmtId="178" fontId="6" fillId="0" borderId="0" xfId="1" applyNumberFormat="1" applyFont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6" fillId="0" borderId="3" xfId="1" applyFont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7" fillId="2" borderId="13" xfId="1" applyFont="1" applyFill="1" applyBorder="1" applyAlignment="1">
      <alignment horizontal="left" vertical="center"/>
    </xf>
    <xf numFmtId="0" fontId="13" fillId="0" borderId="13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5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181" fontId="6" fillId="0" borderId="11" xfId="1" applyNumberFormat="1" applyFont="1" applyFill="1" applyBorder="1" applyAlignment="1">
      <alignment horizontal="right" vertical="center" wrapText="1"/>
    </xf>
    <xf numFmtId="181" fontId="6" fillId="0" borderId="12" xfId="1" applyNumberFormat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0" fontId="6" fillId="0" borderId="12" xfId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164"/>
  <sheetViews>
    <sheetView view="pageBreakPreview" topLeftCell="A49" zoomScale="130" zoomScaleNormal="100" zoomScaleSheetLayoutView="130" workbookViewId="0">
      <selection activeCell="B15" sqref="B15"/>
    </sheetView>
  </sheetViews>
  <sheetFormatPr defaultColWidth="7.875" defaultRowHeight="28.5" customHeight="1" x14ac:dyDescent="0.4"/>
  <cols>
    <col min="1" max="1" width="42.25" style="144" customWidth="1"/>
    <col min="2" max="2" width="7.125" style="25" customWidth="1"/>
    <col min="3" max="3" width="6" style="25" customWidth="1"/>
    <col min="4" max="4" width="37.5" style="144" customWidth="1"/>
    <col min="5" max="5" width="9.875" style="206" customWidth="1"/>
    <col min="6" max="6" width="7.875" style="13"/>
    <col min="7" max="7" width="5.25" style="13" customWidth="1"/>
    <col min="8" max="8" width="22.625" style="13" customWidth="1"/>
    <col min="9" max="9" width="7.875" style="13"/>
    <col min="10" max="250" width="7.875" style="6"/>
    <col min="251" max="251" width="20.25" style="6" customWidth="1"/>
    <col min="252" max="252" width="7.75" style="6" customWidth="1"/>
    <col min="253" max="253" width="23.25" style="6" customWidth="1"/>
    <col min="254" max="254" width="5.75" style="6" customWidth="1"/>
    <col min="255" max="255" width="23.25" style="6" customWidth="1"/>
    <col min="256" max="506" width="7.875" style="6"/>
    <col min="507" max="507" width="20.25" style="6" customWidth="1"/>
    <col min="508" max="508" width="7.75" style="6" customWidth="1"/>
    <col min="509" max="509" width="23.25" style="6" customWidth="1"/>
    <col min="510" max="510" width="5.75" style="6" customWidth="1"/>
    <col min="511" max="511" width="23.25" style="6" customWidth="1"/>
    <col min="512" max="762" width="7.875" style="6"/>
    <col min="763" max="763" width="20.25" style="6" customWidth="1"/>
    <col min="764" max="764" width="7.75" style="6" customWidth="1"/>
    <col min="765" max="765" width="23.25" style="6" customWidth="1"/>
    <col min="766" max="766" width="5.75" style="6" customWidth="1"/>
    <col min="767" max="767" width="23.25" style="6" customWidth="1"/>
    <col min="768" max="1018" width="7.875" style="6"/>
    <col min="1019" max="1019" width="20.25" style="6" customWidth="1"/>
    <col min="1020" max="1020" width="7.75" style="6" customWidth="1"/>
    <col min="1021" max="1021" width="23.25" style="6" customWidth="1"/>
    <col min="1022" max="1022" width="5.75" style="6" customWidth="1"/>
    <col min="1023" max="1023" width="23.25" style="6" customWidth="1"/>
    <col min="1024" max="1274" width="7.875" style="6"/>
    <col min="1275" max="1275" width="20.25" style="6" customWidth="1"/>
    <col min="1276" max="1276" width="7.75" style="6" customWidth="1"/>
    <col min="1277" max="1277" width="23.25" style="6" customWidth="1"/>
    <col min="1278" max="1278" width="5.75" style="6" customWidth="1"/>
    <col min="1279" max="1279" width="23.25" style="6" customWidth="1"/>
    <col min="1280" max="1530" width="7.875" style="6"/>
    <col min="1531" max="1531" width="20.25" style="6" customWidth="1"/>
    <col min="1532" max="1532" width="7.75" style="6" customWidth="1"/>
    <col min="1533" max="1533" width="23.25" style="6" customWidth="1"/>
    <col min="1534" max="1534" width="5.75" style="6" customWidth="1"/>
    <col min="1535" max="1535" width="23.25" style="6" customWidth="1"/>
    <col min="1536" max="1786" width="7.875" style="6"/>
    <col min="1787" max="1787" width="20.25" style="6" customWidth="1"/>
    <col min="1788" max="1788" width="7.75" style="6" customWidth="1"/>
    <col min="1789" max="1789" width="23.25" style="6" customWidth="1"/>
    <col min="1790" max="1790" width="5.75" style="6" customWidth="1"/>
    <col min="1791" max="1791" width="23.25" style="6" customWidth="1"/>
    <col min="1792" max="2042" width="7.875" style="6"/>
    <col min="2043" max="2043" width="20.25" style="6" customWidth="1"/>
    <col min="2044" max="2044" width="7.75" style="6" customWidth="1"/>
    <col min="2045" max="2045" width="23.25" style="6" customWidth="1"/>
    <col min="2046" max="2046" width="5.75" style="6" customWidth="1"/>
    <col min="2047" max="2047" width="23.25" style="6" customWidth="1"/>
    <col min="2048" max="2298" width="7.875" style="6"/>
    <col min="2299" max="2299" width="20.25" style="6" customWidth="1"/>
    <col min="2300" max="2300" width="7.75" style="6" customWidth="1"/>
    <col min="2301" max="2301" width="23.25" style="6" customWidth="1"/>
    <col min="2302" max="2302" width="5.75" style="6" customWidth="1"/>
    <col min="2303" max="2303" width="23.25" style="6" customWidth="1"/>
    <col min="2304" max="2554" width="7.875" style="6"/>
    <col min="2555" max="2555" width="20.25" style="6" customWidth="1"/>
    <col min="2556" max="2556" width="7.75" style="6" customWidth="1"/>
    <col min="2557" max="2557" width="23.25" style="6" customWidth="1"/>
    <col min="2558" max="2558" width="5.75" style="6" customWidth="1"/>
    <col min="2559" max="2559" width="23.25" style="6" customWidth="1"/>
    <col min="2560" max="2810" width="7.875" style="6"/>
    <col min="2811" max="2811" width="20.25" style="6" customWidth="1"/>
    <col min="2812" max="2812" width="7.75" style="6" customWidth="1"/>
    <col min="2813" max="2813" width="23.25" style="6" customWidth="1"/>
    <col min="2814" max="2814" width="5.75" style="6" customWidth="1"/>
    <col min="2815" max="2815" width="23.25" style="6" customWidth="1"/>
    <col min="2816" max="3066" width="7.875" style="6"/>
    <col min="3067" max="3067" width="20.25" style="6" customWidth="1"/>
    <col min="3068" max="3068" width="7.75" style="6" customWidth="1"/>
    <col min="3069" max="3069" width="23.25" style="6" customWidth="1"/>
    <col min="3070" max="3070" width="5.75" style="6" customWidth="1"/>
    <col min="3071" max="3071" width="23.25" style="6" customWidth="1"/>
    <col min="3072" max="3322" width="7.875" style="6"/>
    <col min="3323" max="3323" width="20.25" style="6" customWidth="1"/>
    <col min="3324" max="3324" width="7.75" style="6" customWidth="1"/>
    <col min="3325" max="3325" width="23.25" style="6" customWidth="1"/>
    <col min="3326" max="3326" width="5.75" style="6" customWidth="1"/>
    <col min="3327" max="3327" width="23.25" style="6" customWidth="1"/>
    <col min="3328" max="3578" width="7.875" style="6"/>
    <col min="3579" max="3579" width="20.25" style="6" customWidth="1"/>
    <col min="3580" max="3580" width="7.75" style="6" customWidth="1"/>
    <col min="3581" max="3581" width="23.25" style="6" customWidth="1"/>
    <col min="3582" max="3582" width="5.75" style="6" customWidth="1"/>
    <col min="3583" max="3583" width="23.25" style="6" customWidth="1"/>
    <col min="3584" max="3834" width="7.875" style="6"/>
    <col min="3835" max="3835" width="20.25" style="6" customWidth="1"/>
    <col min="3836" max="3836" width="7.75" style="6" customWidth="1"/>
    <col min="3837" max="3837" width="23.25" style="6" customWidth="1"/>
    <col min="3838" max="3838" width="5.75" style="6" customWidth="1"/>
    <col min="3839" max="3839" width="23.25" style="6" customWidth="1"/>
    <col min="3840" max="4090" width="7.875" style="6"/>
    <col min="4091" max="4091" width="20.25" style="6" customWidth="1"/>
    <col min="4092" max="4092" width="7.75" style="6" customWidth="1"/>
    <col min="4093" max="4093" width="23.25" style="6" customWidth="1"/>
    <col min="4094" max="4094" width="5.75" style="6" customWidth="1"/>
    <col min="4095" max="4095" width="23.25" style="6" customWidth="1"/>
    <col min="4096" max="4346" width="7.875" style="6"/>
    <col min="4347" max="4347" width="20.25" style="6" customWidth="1"/>
    <col min="4348" max="4348" width="7.75" style="6" customWidth="1"/>
    <col min="4349" max="4349" width="23.25" style="6" customWidth="1"/>
    <col min="4350" max="4350" width="5.75" style="6" customWidth="1"/>
    <col min="4351" max="4351" width="23.25" style="6" customWidth="1"/>
    <col min="4352" max="4602" width="7.875" style="6"/>
    <col min="4603" max="4603" width="20.25" style="6" customWidth="1"/>
    <col min="4604" max="4604" width="7.75" style="6" customWidth="1"/>
    <col min="4605" max="4605" width="23.25" style="6" customWidth="1"/>
    <col min="4606" max="4606" width="5.75" style="6" customWidth="1"/>
    <col min="4607" max="4607" width="23.25" style="6" customWidth="1"/>
    <col min="4608" max="4858" width="7.875" style="6"/>
    <col min="4859" max="4859" width="20.25" style="6" customWidth="1"/>
    <col min="4860" max="4860" width="7.75" style="6" customWidth="1"/>
    <col min="4861" max="4861" width="23.25" style="6" customWidth="1"/>
    <col min="4862" max="4862" width="5.75" style="6" customWidth="1"/>
    <col min="4863" max="4863" width="23.25" style="6" customWidth="1"/>
    <col min="4864" max="5114" width="7.875" style="6"/>
    <col min="5115" max="5115" width="20.25" style="6" customWidth="1"/>
    <col min="5116" max="5116" width="7.75" style="6" customWidth="1"/>
    <col min="5117" max="5117" width="23.25" style="6" customWidth="1"/>
    <col min="5118" max="5118" width="5.75" style="6" customWidth="1"/>
    <col min="5119" max="5119" width="23.25" style="6" customWidth="1"/>
    <col min="5120" max="5370" width="7.875" style="6"/>
    <col min="5371" max="5371" width="20.25" style="6" customWidth="1"/>
    <col min="5372" max="5372" width="7.75" style="6" customWidth="1"/>
    <col min="5373" max="5373" width="23.25" style="6" customWidth="1"/>
    <col min="5374" max="5374" width="5.75" style="6" customWidth="1"/>
    <col min="5375" max="5375" width="23.25" style="6" customWidth="1"/>
    <col min="5376" max="5626" width="7.875" style="6"/>
    <col min="5627" max="5627" width="20.25" style="6" customWidth="1"/>
    <col min="5628" max="5628" width="7.75" style="6" customWidth="1"/>
    <col min="5629" max="5629" width="23.25" style="6" customWidth="1"/>
    <col min="5630" max="5630" width="5.75" style="6" customWidth="1"/>
    <col min="5631" max="5631" width="23.25" style="6" customWidth="1"/>
    <col min="5632" max="5882" width="7.875" style="6"/>
    <col min="5883" max="5883" width="20.25" style="6" customWidth="1"/>
    <col min="5884" max="5884" width="7.75" style="6" customWidth="1"/>
    <col min="5885" max="5885" width="23.25" style="6" customWidth="1"/>
    <col min="5886" max="5886" width="5.75" style="6" customWidth="1"/>
    <col min="5887" max="5887" width="23.25" style="6" customWidth="1"/>
    <col min="5888" max="6138" width="7.875" style="6"/>
    <col min="6139" max="6139" width="20.25" style="6" customWidth="1"/>
    <col min="6140" max="6140" width="7.75" style="6" customWidth="1"/>
    <col min="6141" max="6141" width="23.25" style="6" customWidth="1"/>
    <col min="6142" max="6142" width="5.75" style="6" customWidth="1"/>
    <col min="6143" max="6143" width="23.25" style="6" customWidth="1"/>
    <col min="6144" max="6394" width="7.875" style="6"/>
    <col min="6395" max="6395" width="20.25" style="6" customWidth="1"/>
    <col min="6396" max="6396" width="7.75" style="6" customWidth="1"/>
    <col min="6397" max="6397" width="23.25" style="6" customWidth="1"/>
    <col min="6398" max="6398" width="5.75" style="6" customWidth="1"/>
    <col min="6399" max="6399" width="23.25" style="6" customWidth="1"/>
    <col min="6400" max="6650" width="7.875" style="6"/>
    <col min="6651" max="6651" width="20.25" style="6" customWidth="1"/>
    <col min="6652" max="6652" width="7.75" style="6" customWidth="1"/>
    <col min="6653" max="6653" width="23.25" style="6" customWidth="1"/>
    <col min="6654" max="6654" width="5.75" style="6" customWidth="1"/>
    <col min="6655" max="6655" width="23.25" style="6" customWidth="1"/>
    <col min="6656" max="6906" width="7.875" style="6"/>
    <col min="6907" max="6907" width="20.25" style="6" customWidth="1"/>
    <col min="6908" max="6908" width="7.75" style="6" customWidth="1"/>
    <col min="6909" max="6909" width="23.25" style="6" customWidth="1"/>
    <col min="6910" max="6910" width="5.75" style="6" customWidth="1"/>
    <col min="6911" max="6911" width="23.25" style="6" customWidth="1"/>
    <col min="6912" max="7162" width="7.875" style="6"/>
    <col min="7163" max="7163" width="20.25" style="6" customWidth="1"/>
    <col min="7164" max="7164" width="7.75" style="6" customWidth="1"/>
    <col min="7165" max="7165" width="23.25" style="6" customWidth="1"/>
    <col min="7166" max="7166" width="5.75" style="6" customWidth="1"/>
    <col min="7167" max="7167" width="23.25" style="6" customWidth="1"/>
    <col min="7168" max="7418" width="7.875" style="6"/>
    <col min="7419" max="7419" width="20.25" style="6" customWidth="1"/>
    <col min="7420" max="7420" width="7.75" style="6" customWidth="1"/>
    <col min="7421" max="7421" width="23.25" style="6" customWidth="1"/>
    <col min="7422" max="7422" width="5.75" style="6" customWidth="1"/>
    <col min="7423" max="7423" width="23.25" style="6" customWidth="1"/>
    <col min="7424" max="7674" width="7.875" style="6"/>
    <col min="7675" max="7675" width="20.25" style="6" customWidth="1"/>
    <col min="7676" max="7676" width="7.75" style="6" customWidth="1"/>
    <col min="7677" max="7677" width="23.25" style="6" customWidth="1"/>
    <col min="7678" max="7678" width="5.75" style="6" customWidth="1"/>
    <col min="7679" max="7679" width="23.25" style="6" customWidth="1"/>
    <col min="7680" max="7930" width="7.875" style="6"/>
    <col min="7931" max="7931" width="20.25" style="6" customWidth="1"/>
    <col min="7932" max="7932" width="7.75" style="6" customWidth="1"/>
    <col min="7933" max="7933" width="23.25" style="6" customWidth="1"/>
    <col min="7934" max="7934" width="5.75" style="6" customWidth="1"/>
    <col min="7935" max="7935" width="23.25" style="6" customWidth="1"/>
    <col min="7936" max="8186" width="7.875" style="6"/>
    <col min="8187" max="8187" width="20.25" style="6" customWidth="1"/>
    <col min="8188" max="8188" width="7.75" style="6" customWidth="1"/>
    <col min="8189" max="8189" width="23.25" style="6" customWidth="1"/>
    <col min="8190" max="8190" width="5.75" style="6" customWidth="1"/>
    <col min="8191" max="8191" width="23.25" style="6" customWidth="1"/>
    <col min="8192" max="8442" width="7.875" style="6"/>
    <col min="8443" max="8443" width="20.25" style="6" customWidth="1"/>
    <col min="8444" max="8444" width="7.75" style="6" customWidth="1"/>
    <col min="8445" max="8445" width="23.25" style="6" customWidth="1"/>
    <col min="8446" max="8446" width="5.75" style="6" customWidth="1"/>
    <col min="8447" max="8447" width="23.25" style="6" customWidth="1"/>
    <col min="8448" max="8698" width="7.875" style="6"/>
    <col min="8699" max="8699" width="20.25" style="6" customWidth="1"/>
    <col min="8700" max="8700" width="7.75" style="6" customWidth="1"/>
    <col min="8701" max="8701" width="23.25" style="6" customWidth="1"/>
    <col min="8702" max="8702" width="5.75" style="6" customWidth="1"/>
    <col min="8703" max="8703" width="23.25" style="6" customWidth="1"/>
    <col min="8704" max="8954" width="7.875" style="6"/>
    <col min="8955" max="8955" width="20.25" style="6" customWidth="1"/>
    <col min="8956" max="8956" width="7.75" style="6" customWidth="1"/>
    <col min="8957" max="8957" width="23.25" style="6" customWidth="1"/>
    <col min="8958" max="8958" width="5.75" style="6" customWidth="1"/>
    <col min="8959" max="8959" width="23.25" style="6" customWidth="1"/>
    <col min="8960" max="9210" width="7.875" style="6"/>
    <col min="9211" max="9211" width="20.25" style="6" customWidth="1"/>
    <col min="9212" max="9212" width="7.75" style="6" customWidth="1"/>
    <col min="9213" max="9213" width="23.25" style="6" customWidth="1"/>
    <col min="9214" max="9214" width="5.75" style="6" customWidth="1"/>
    <col min="9215" max="9215" width="23.25" style="6" customWidth="1"/>
    <col min="9216" max="9466" width="7.875" style="6"/>
    <col min="9467" max="9467" width="20.25" style="6" customWidth="1"/>
    <col min="9468" max="9468" width="7.75" style="6" customWidth="1"/>
    <col min="9469" max="9469" width="23.25" style="6" customWidth="1"/>
    <col min="9470" max="9470" width="5.75" style="6" customWidth="1"/>
    <col min="9471" max="9471" width="23.25" style="6" customWidth="1"/>
    <col min="9472" max="9722" width="7.875" style="6"/>
    <col min="9723" max="9723" width="20.25" style="6" customWidth="1"/>
    <col min="9724" max="9724" width="7.75" style="6" customWidth="1"/>
    <col min="9725" max="9725" width="23.25" style="6" customWidth="1"/>
    <col min="9726" max="9726" width="5.75" style="6" customWidth="1"/>
    <col min="9727" max="9727" width="23.25" style="6" customWidth="1"/>
    <col min="9728" max="9978" width="7.875" style="6"/>
    <col min="9979" max="9979" width="20.25" style="6" customWidth="1"/>
    <col min="9980" max="9980" width="7.75" style="6" customWidth="1"/>
    <col min="9981" max="9981" width="23.25" style="6" customWidth="1"/>
    <col min="9982" max="9982" width="5.75" style="6" customWidth="1"/>
    <col min="9983" max="9983" width="23.25" style="6" customWidth="1"/>
    <col min="9984" max="10234" width="7.875" style="6"/>
    <col min="10235" max="10235" width="20.25" style="6" customWidth="1"/>
    <col min="10236" max="10236" width="7.75" style="6" customWidth="1"/>
    <col min="10237" max="10237" width="23.25" style="6" customWidth="1"/>
    <col min="10238" max="10238" width="5.75" style="6" customWidth="1"/>
    <col min="10239" max="10239" width="23.25" style="6" customWidth="1"/>
    <col min="10240" max="10490" width="7.875" style="6"/>
    <col min="10491" max="10491" width="20.25" style="6" customWidth="1"/>
    <col min="10492" max="10492" width="7.75" style="6" customWidth="1"/>
    <col min="10493" max="10493" width="23.25" style="6" customWidth="1"/>
    <col min="10494" max="10494" width="5.75" style="6" customWidth="1"/>
    <col min="10495" max="10495" width="23.25" style="6" customWidth="1"/>
    <col min="10496" max="10746" width="7.875" style="6"/>
    <col min="10747" max="10747" width="20.25" style="6" customWidth="1"/>
    <col min="10748" max="10748" width="7.75" style="6" customWidth="1"/>
    <col min="10749" max="10749" width="23.25" style="6" customWidth="1"/>
    <col min="10750" max="10750" width="5.75" style="6" customWidth="1"/>
    <col min="10751" max="10751" width="23.25" style="6" customWidth="1"/>
    <col min="10752" max="11002" width="7.875" style="6"/>
    <col min="11003" max="11003" width="20.25" style="6" customWidth="1"/>
    <col min="11004" max="11004" width="7.75" style="6" customWidth="1"/>
    <col min="11005" max="11005" width="23.25" style="6" customWidth="1"/>
    <col min="11006" max="11006" width="5.75" style="6" customWidth="1"/>
    <col min="11007" max="11007" width="23.25" style="6" customWidth="1"/>
    <col min="11008" max="11258" width="7.875" style="6"/>
    <col min="11259" max="11259" width="20.25" style="6" customWidth="1"/>
    <col min="11260" max="11260" width="7.75" style="6" customWidth="1"/>
    <col min="11261" max="11261" width="23.25" style="6" customWidth="1"/>
    <col min="11262" max="11262" width="5.75" style="6" customWidth="1"/>
    <col min="11263" max="11263" width="23.25" style="6" customWidth="1"/>
    <col min="11264" max="11514" width="7.875" style="6"/>
    <col min="11515" max="11515" width="20.25" style="6" customWidth="1"/>
    <col min="11516" max="11516" width="7.75" style="6" customWidth="1"/>
    <col min="11517" max="11517" width="23.25" style="6" customWidth="1"/>
    <col min="11518" max="11518" width="5.75" style="6" customWidth="1"/>
    <col min="11519" max="11519" width="23.25" style="6" customWidth="1"/>
    <col min="11520" max="11770" width="7.875" style="6"/>
    <col min="11771" max="11771" width="20.25" style="6" customWidth="1"/>
    <col min="11772" max="11772" width="7.75" style="6" customWidth="1"/>
    <col min="11773" max="11773" width="23.25" style="6" customWidth="1"/>
    <col min="11774" max="11774" width="5.75" style="6" customWidth="1"/>
    <col min="11775" max="11775" width="23.25" style="6" customWidth="1"/>
    <col min="11776" max="12026" width="7.875" style="6"/>
    <col min="12027" max="12027" width="20.25" style="6" customWidth="1"/>
    <col min="12028" max="12028" width="7.75" style="6" customWidth="1"/>
    <col min="12029" max="12029" width="23.25" style="6" customWidth="1"/>
    <col min="12030" max="12030" width="5.75" style="6" customWidth="1"/>
    <col min="12031" max="12031" width="23.25" style="6" customWidth="1"/>
    <col min="12032" max="12282" width="7.875" style="6"/>
    <col min="12283" max="12283" width="20.25" style="6" customWidth="1"/>
    <col min="12284" max="12284" width="7.75" style="6" customWidth="1"/>
    <col min="12285" max="12285" width="23.25" style="6" customWidth="1"/>
    <col min="12286" max="12286" width="5.75" style="6" customWidth="1"/>
    <col min="12287" max="12287" width="23.25" style="6" customWidth="1"/>
    <col min="12288" max="12538" width="7.875" style="6"/>
    <col min="12539" max="12539" width="20.25" style="6" customWidth="1"/>
    <col min="12540" max="12540" width="7.75" style="6" customWidth="1"/>
    <col min="12541" max="12541" width="23.25" style="6" customWidth="1"/>
    <col min="12542" max="12542" width="5.75" style="6" customWidth="1"/>
    <col min="12543" max="12543" width="23.25" style="6" customWidth="1"/>
    <col min="12544" max="12794" width="7.875" style="6"/>
    <col min="12795" max="12795" width="20.25" style="6" customWidth="1"/>
    <col min="12796" max="12796" width="7.75" style="6" customWidth="1"/>
    <col min="12797" max="12797" width="23.25" style="6" customWidth="1"/>
    <col min="12798" max="12798" width="5.75" style="6" customWidth="1"/>
    <col min="12799" max="12799" width="23.25" style="6" customWidth="1"/>
    <col min="12800" max="13050" width="7.875" style="6"/>
    <col min="13051" max="13051" width="20.25" style="6" customWidth="1"/>
    <col min="13052" max="13052" width="7.75" style="6" customWidth="1"/>
    <col min="13053" max="13053" width="23.25" style="6" customWidth="1"/>
    <col min="13054" max="13054" width="5.75" style="6" customWidth="1"/>
    <col min="13055" max="13055" width="23.25" style="6" customWidth="1"/>
    <col min="13056" max="13306" width="7.875" style="6"/>
    <col min="13307" max="13307" width="20.25" style="6" customWidth="1"/>
    <col min="13308" max="13308" width="7.75" style="6" customWidth="1"/>
    <col min="13309" max="13309" width="23.25" style="6" customWidth="1"/>
    <col min="13310" max="13310" width="5.75" style="6" customWidth="1"/>
    <col min="13311" max="13311" width="23.25" style="6" customWidth="1"/>
    <col min="13312" max="13562" width="7.875" style="6"/>
    <col min="13563" max="13563" width="20.25" style="6" customWidth="1"/>
    <col min="13564" max="13564" width="7.75" style="6" customWidth="1"/>
    <col min="13565" max="13565" width="23.25" style="6" customWidth="1"/>
    <col min="13566" max="13566" width="5.75" style="6" customWidth="1"/>
    <col min="13567" max="13567" width="23.25" style="6" customWidth="1"/>
    <col min="13568" max="13818" width="7.875" style="6"/>
    <col min="13819" max="13819" width="20.25" style="6" customWidth="1"/>
    <col min="13820" max="13820" width="7.75" style="6" customWidth="1"/>
    <col min="13821" max="13821" width="23.25" style="6" customWidth="1"/>
    <col min="13822" max="13822" width="5.75" style="6" customWidth="1"/>
    <col min="13823" max="13823" width="23.25" style="6" customWidth="1"/>
    <col min="13824" max="14074" width="7.875" style="6"/>
    <col min="14075" max="14075" width="20.25" style="6" customWidth="1"/>
    <col min="14076" max="14076" width="7.75" style="6" customWidth="1"/>
    <col min="14077" max="14077" width="23.25" style="6" customWidth="1"/>
    <col min="14078" max="14078" width="5.75" style="6" customWidth="1"/>
    <col min="14079" max="14079" width="23.25" style="6" customWidth="1"/>
    <col min="14080" max="14330" width="7.875" style="6"/>
    <col min="14331" max="14331" width="20.25" style="6" customWidth="1"/>
    <col min="14332" max="14332" width="7.75" style="6" customWidth="1"/>
    <col min="14333" max="14333" width="23.25" style="6" customWidth="1"/>
    <col min="14334" max="14334" width="5.75" style="6" customWidth="1"/>
    <col min="14335" max="14335" width="23.25" style="6" customWidth="1"/>
    <col min="14336" max="14586" width="7.875" style="6"/>
    <col min="14587" max="14587" width="20.25" style="6" customWidth="1"/>
    <col min="14588" max="14588" width="7.75" style="6" customWidth="1"/>
    <col min="14589" max="14589" width="23.25" style="6" customWidth="1"/>
    <col min="14590" max="14590" width="5.75" style="6" customWidth="1"/>
    <col min="14591" max="14591" width="23.25" style="6" customWidth="1"/>
    <col min="14592" max="14842" width="7.875" style="6"/>
    <col min="14843" max="14843" width="20.25" style="6" customWidth="1"/>
    <col min="14844" max="14844" width="7.75" style="6" customWidth="1"/>
    <col min="14845" max="14845" width="23.25" style="6" customWidth="1"/>
    <col min="14846" max="14846" width="5.75" style="6" customWidth="1"/>
    <col min="14847" max="14847" width="23.25" style="6" customWidth="1"/>
    <col min="14848" max="15098" width="7.875" style="6"/>
    <col min="15099" max="15099" width="20.25" style="6" customWidth="1"/>
    <col min="15100" max="15100" width="7.75" style="6" customWidth="1"/>
    <col min="15101" max="15101" width="23.25" style="6" customWidth="1"/>
    <col min="15102" max="15102" width="5.75" style="6" customWidth="1"/>
    <col min="15103" max="15103" width="23.25" style="6" customWidth="1"/>
    <col min="15104" max="15354" width="7.875" style="6"/>
    <col min="15355" max="15355" width="20.25" style="6" customWidth="1"/>
    <col min="15356" max="15356" width="7.75" style="6" customWidth="1"/>
    <col min="15357" max="15357" width="23.25" style="6" customWidth="1"/>
    <col min="15358" max="15358" width="5.75" style="6" customWidth="1"/>
    <col min="15359" max="15359" width="23.25" style="6" customWidth="1"/>
    <col min="15360" max="15610" width="7.875" style="6"/>
    <col min="15611" max="15611" width="20.25" style="6" customWidth="1"/>
    <col min="15612" max="15612" width="7.75" style="6" customWidth="1"/>
    <col min="15613" max="15613" width="23.25" style="6" customWidth="1"/>
    <col min="15614" max="15614" width="5.75" style="6" customWidth="1"/>
    <col min="15615" max="15615" width="23.25" style="6" customWidth="1"/>
    <col min="15616" max="15866" width="7.875" style="6"/>
    <col min="15867" max="15867" width="20.25" style="6" customWidth="1"/>
    <col min="15868" max="15868" width="7.75" style="6" customWidth="1"/>
    <col min="15869" max="15869" width="23.25" style="6" customWidth="1"/>
    <col min="15870" max="15870" width="5.75" style="6" customWidth="1"/>
    <col min="15871" max="15871" width="23.25" style="6" customWidth="1"/>
    <col min="15872" max="16122" width="7.875" style="6"/>
    <col min="16123" max="16123" width="20.25" style="6" customWidth="1"/>
    <col min="16124" max="16124" width="7.75" style="6" customWidth="1"/>
    <col min="16125" max="16125" width="23.25" style="6" customWidth="1"/>
    <col min="16126" max="16126" width="5.75" style="6" customWidth="1"/>
    <col min="16127" max="16127" width="23.25" style="6" customWidth="1"/>
    <col min="16128" max="16384" width="7.875" style="6"/>
  </cols>
  <sheetData>
    <row r="2" spans="1:9" ht="14.25" customHeight="1" x14ac:dyDescent="0.4">
      <c r="A2" s="241" t="s">
        <v>2</v>
      </c>
      <c r="B2" s="242"/>
      <c r="C2" s="242"/>
      <c r="D2" s="242"/>
      <c r="E2" s="242"/>
      <c r="F2" s="242"/>
      <c r="G2" s="242"/>
      <c r="H2" s="242"/>
      <c r="I2" s="243"/>
    </row>
    <row r="3" spans="1:9" ht="14.25" customHeight="1" x14ac:dyDescent="0.4">
      <c r="A3" s="244"/>
      <c r="B3" s="245"/>
      <c r="C3" s="245"/>
      <c r="D3" s="245"/>
      <c r="E3" s="245"/>
      <c r="F3" s="245"/>
      <c r="G3" s="245"/>
      <c r="H3" s="245"/>
      <c r="I3" s="246"/>
    </row>
    <row r="4" spans="1:9" ht="14.25" customHeight="1" x14ac:dyDescent="0.4">
      <c r="A4" s="240" t="s">
        <v>3</v>
      </c>
      <c r="B4" s="247" t="s">
        <v>47</v>
      </c>
      <c r="C4" s="247"/>
      <c r="D4" s="247"/>
      <c r="E4" s="226"/>
      <c r="F4" s="225" t="s">
        <v>48</v>
      </c>
      <c r="G4" s="247"/>
      <c r="H4" s="247"/>
      <c r="I4" s="226"/>
    </row>
    <row r="5" spans="1:9" s="7" customFormat="1" ht="14.25" customHeight="1" x14ac:dyDescent="0.4">
      <c r="A5" s="240"/>
      <c r="B5" s="225" t="s">
        <v>4</v>
      </c>
      <c r="C5" s="226"/>
      <c r="D5" s="225" t="s">
        <v>5</v>
      </c>
      <c r="E5" s="226"/>
      <c r="F5" s="225" t="s">
        <v>432</v>
      </c>
      <c r="G5" s="226"/>
      <c r="H5" s="151"/>
      <c r="I5" s="146"/>
    </row>
    <row r="6" spans="1:9" s="7" customFormat="1" ht="27.75" customHeight="1" x14ac:dyDescent="0.4">
      <c r="A6" s="17" t="s">
        <v>67</v>
      </c>
      <c r="B6" s="151"/>
      <c r="C6" s="20"/>
      <c r="D6" s="151"/>
      <c r="E6" s="42"/>
      <c r="F6" s="145"/>
      <c r="G6" s="208"/>
      <c r="H6" s="20"/>
      <c r="I6" s="208"/>
    </row>
    <row r="7" spans="1:9" s="7" customFormat="1" ht="27.75" customHeight="1" x14ac:dyDescent="0.4">
      <c r="A7" s="9" t="s">
        <v>49</v>
      </c>
      <c r="B7" s="16"/>
      <c r="C7" s="21"/>
      <c r="D7" s="11"/>
      <c r="E7" s="188"/>
      <c r="F7" s="9"/>
      <c r="G7" s="209"/>
      <c r="H7" s="21"/>
      <c r="I7" s="209"/>
    </row>
    <row r="8" spans="1:9" s="7" customFormat="1" ht="27.75" customHeight="1" x14ac:dyDescent="0.4">
      <c r="A8" s="49" t="s">
        <v>341</v>
      </c>
      <c r="B8" s="50"/>
      <c r="C8" s="51"/>
      <c r="D8" s="52"/>
      <c r="E8" s="189"/>
      <c r="F8" s="49"/>
      <c r="G8" s="210"/>
      <c r="H8" s="51"/>
      <c r="I8" s="210"/>
    </row>
    <row r="9" spans="1:9" s="7" customFormat="1" ht="27.75" customHeight="1" x14ac:dyDescent="0.4">
      <c r="A9" s="59" t="s">
        <v>75</v>
      </c>
      <c r="B9" s="60">
        <f>ROUND(E9,-2)</f>
        <v>1000</v>
      </c>
      <c r="C9" s="61" t="s">
        <v>6</v>
      </c>
      <c r="D9" s="62" t="s">
        <v>347</v>
      </c>
      <c r="E9" s="190">
        <f>'★計画GL+路床'!E14</f>
        <v>1032</v>
      </c>
      <c r="F9" s="60"/>
      <c r="G9" s="61"/>
      <c r="H9" s="63"/>
      <c r="I9" s="211"/>
    </row>
    <row r="10" spans="1:9" s="7" customFormat="1" ht="37.5" customHeight="1" x14ac:dyDescent="0.4">
      <c r="A10" s="54" t="s">
        <v>442</v>
      </c>
      <c r="B10" s="60">
        <f>ROUND(E10,-2)</f>
        <v>1000</v>
      </c>
      <c r="C10" s="32" t="s">
        <v>6</v>
      </c>
      <c r="D10" s="31" t="s">
        <v>30</v>
      </c>
      <c r="E10" s="191">
        <f>E9</f>
        <v>1032</v>
      </c>
      <c r="F10" s="31"/>
      <c r="G10" s="64"/>
      <c r="H10" s="56"/>
      <c r="I10" s="32"/>
    </row>
    <row r="11" spans="1:9" s="7" customFormat="1" ht="37.5" customHeight="1" x14ac:dyDescent="0.4">
      <c r="A11" s="31" t="s">
        <v>443</v>
      </c>
      <c r="B11" s="60">
        <f>ROUND(E11,-2)</f>
        <v>1000</v>
      </c>
      <c r="C11" s="32" t="s">
        <v>342</v>
      </c>
      <c r="D11" s="31" t="s">
        <v>348</v>
      </c>
      <c r="E11" s="191">
        <f>E10</f>
        <v>1032</v>
      </c>
      <c r="F11" s="31"/>
      <c r="G11" s="64"/>
      <c r="H11" s="56"/>
      <c r="I11" s="32"/>
    </row>
    <row r="12" spans="1:9" s="7" customFormat="1" ht="27.75" customHeight="1" x14ac:dyDescent="0.4">
      <c r="A12" s="31" t="s">
        <v>344</v>
      </c>
      <c r="B12" s="55">
        <f>ROUND(E12,-2)</f>
        <v>1300</v>
      </c>
      <c r="C12" s="32" t="s">
        <v>71</v>
      </c>
      <c r="D12" s="31" t="s">
        <v>30</v>
      </c>
      <c r="E12" s="191">
        <f>'★計画GL+路床'!G14</f>
        <v>1260</v>
      </c>
      <c r="F12" s="31"/>
      <c r="G12" s="64"/>
      <c r="H12" s="56"/>
      <c r="I12" s="32"/>
    </row>
    <row r="13" spans="1:9" s="7" customFormat="1" ht="27.75" customHeight="1" x14ac:dyDescent="0.4">
      <c r="A13" s="31" t="s">
        <v>345</v>
      </c>
      <c r="B13" s="55">
        <f>ROUND(E13,-2)</f>
        <v>1700</v>
      </c>
      <c r="C13" s="32" t="s">
        <v>342</v>
      </c>
      <c r="D13" s="31" t="s">
        <v>346</v>
      </c>
      <c r="E13" s="191">
        <f>E12*1.2/0.9</f>
        <v>1680</v>
      </c>
      <c r="F13" s="31"/>
      <c r="G13" s="64"/>
      <c r="H13" s="56"/>
      <c r="I13" s="32"/>
    </row>
    <row r="14" spans="1:9" s="7" customFormat="1" ht="27.75" customHeight="1" x14ac:dyDescent="0.4">
      <c r="A14" s="65" t="s">
        <v>385</v>
      </c>
      <c r="B14" s="31"/>
      <c r="C14" s="32"/>
      <c r="D14" s="31"/>
      <c r="E14" s="192"/>
      <c r="F14" s="31"/>
      <c r="G14" s="32"/>
      <c r="H14" s="56"/>
      <c r="I14" s="32"/>
    </row>
    <row r="15" spans="1:9" s="7" customFormat="1" ht="43.5" customHeight="1" x14ac:dyDescent="0.4">
      <c r="A15" s="54" t="s">
        <v>380</v>
      </c>
      <c r="B15" s="60">
        <f>ROUND(E15,-1)</f>
        <v>540</v>
      </c>
      <c r="C15" s="32" t="s">
        <v>6</v>
      </c>
      <c r="D15" s="31" t="s">
        <v>379</v>
      </c>
      <c r="E15" s="191">
        <f>'★計画GL+路床'!L23</f>
        <v>544</v>
      </c>
      <c r="F15" s="31"/>
      <c r="G15" s="32"/>
      <c r="H15" s="56"/>
      <c r="I15" s="32"/>
    </row>
    <row r="16" spans="1:9" s="7" customFormat="1" ht="43.5" customHeight="1" x14ac:dyDescent="0.4">
      <c r="A16" s="54" t="s">
        <v>442</v>
      </c>
      <c r="B16" s="60">
        <f t="shared" ref="B16:B17" si="0">ROUND(E16,-1)</f>
        <v>540</v>
      </c>
      <c r="C16" s="32" t="s">
        <v>6</v>
      </c>
      <c r="D16" s="31" t="s">
        <v>30</v>
      </c>
      <c r="E16" s="191">
        <f>E15</f>
        <v>544</v>
      </c>
      <c r="F16" s="31"/>
      <c r="G16" s="32"/>
      <c r="H16" s="56"/>
      <c r="I16" s="32"/>
    </row>
    <row r="17" spans="1:9" s="7" customFormat="1" ht="27.75" customHeight="1" x14ac:dyDescent="0.4">
      <c r="A17" s="31" t="s">
        <v>443</v>
      </c>
      <c r="B17" s="60">
        <f t="shared" si="0"/>
        <v>540</v>
      </c>
      <c r="C17" s="32" t="s">
        <v>6</v>
      </c>
      <c r="D17" s="31" t="s">
        <v>30</v>
      </c>
      <c r="E17" s="191">
        <f>E16</f>
        <v>544</v>
      </c>
      <c r="F17" s="31"/>
      <c r="G17" s="64"/>
      <c r="H17" s="56"/>
      <c r="I17" s="32"/>
    </row>
    <row r="18" spans="1:9" s="7" customFormat="1" ht="49.5" customHeight="1" x14ac:dyDescent="0.4">
      <c r="A18" s="54" t="s">
        <v>73</v>
      </c>
      <c r="B18" s="60">
        <f>ROUND(E18,-2)</f>
        <v>1400</v>
      </c>
      <c r="C18" s="32" t="s">
        <v>6</v>
      </c>
      <c r="D18" s="31" t="s">
        <v>381</v>
      </c>
      <c r="E18" s="193">
        <f>'★計画GL+路床'!G23</f>
        <v>1428</v>
      </c>
      <c r="F18" s="31"/>
      <c r="G18" s="32"/>
      <c r="H18" s="56"/>
      <c r="I18" s="32"/>
    </row>
    <row r="19" spans="1:9" s="7" customFormat="1" ht="44.25" customHeight="1" x14ac:dyDescent="0.4">
      <c r="A19" s="54" t="s">
        <v>442</v>
      </c>
      <c r="B19" s="60">
        <f t="shared" ref="B19:B22" si="1">ROUND(E19,-2)</f>
        <v>1400</v>
      </c>
      <c r="C19" s="32" t="s">
        <v>6</v>
      </c>
      <c r="D19" s="31" t="s">
        <v>30</v>
      </c>
      <c r="E19" s="193">
        <f>E18</f>
        <v>1428</v>
      </c>
      <c r="F19" s="31"/>
      <c r="G19" s="64"/>
      <c r="H19" s="56"/>
      <c r="I19" s="32"/>
    </row>
    <row r="20" spans="1:9" s="7" customFormat="1" ht="44.25" customHeight="1" x14ac:dyDescent="0.4">
      <c r="A20" s="31" t="s">
        <v>443</v>
      </c>
      <c r="B20" s="60">
        <f t="shared" si="1"/>
        <v>1400</v>
      </c>
      <c r="C20" s="32" t="s">
        <v>6</v>
      </c>
      <c r="D20" s="31" t="s">
        <v>30</v>
      </c>
      <c r="E20" s="193">
        <f>E19</f>
        <v>1428</v>
      </c>
      <c r="F20" s="31"/>
      <c r="G20" s="64"/>
      <c r="H20" s="56"/>
      <c r="I20" s="32"/>
    </row>
    <row r="21" spans="1:9" s="7" customFormat="1" ht="27.75" customHeight="1" x14ac:dyDescent="0.4">
      <c r="A21" s="54" t="s">
        <v>74</v>
      </c>
      <c r="B21" s="60">
        <f t="shared" si="1"/>
        <v>1400</v>
      </c>
      <c r="C21" s="32" t="s">
        <v>6</v>
      </c>
      <c r="D21" s="31" t="s">
        <v>30</v>
      </c>
      <c r="E21" s="193">
        <f>'★計画GL+路床'!H23</f>
        <v>1428</v>
      </c>
      <c r="F21" s="31"/>
      <c r="G21" s="64"/>
      <c r="H21" s="56"/>
      <c r="I21" s="32"/>
    </row>
    <row r="22" spans="1:9" s="7" customFormat="1" ht="27.75" customHeight="1" x14ac:dyDescent="0.4">
      <c r="A22" s="54" t="s">
        <v>88</v>
      </c>
      <c r="B22" s="60">
        <f t="shared" si="1"/>
        <v>1900</v>
      </c>
      <c r="C22" s="32" t="s">
        <v>71</v>
      </c>
      <c r="D22" s="31" t="s">
        <v>445</v>
      </c>
      <c r="E22" s="193">
        <f>'★計画GL+路床'!I23</f>
        <v>1904</v>
      </c>
      <c r="F22" s="31"/>
      <c r="G22" s="64"/>
      <c r="H22" s="56"/>
      <c r="I22" s="32"/>
    </row>
    <row r="23" spans="1:9" s="7" customFormat="1" ht="27.75" customHeight="1" x14ac:dyDescent="0.4">
      <c r="A23" s="65" t="s">
        <v>386</v>
      </c>
      <c r="B23" s="31"/>
      <c r="C23" s="32"/>
      <c r="D23" s="31"/>
      <c r="E23" s="192"/>
      <c r="F23" s="31"/>
      <c r="G23" s="32"/>
      <c r="H23" s="56"/>
      <c r="I23" s="32"/>
    </row>
    <row r="24" spans="1:9" s="7" customFormat="1" ht="44.25" customHeight="1" x14ac:dyDescent="0.4">
      <c r="A24" s="54" t="s">
        <v>433</v>
      </c>
      <c r="B24" s="60">
        <f>ROUND(E24,-1)</f>
        <v>340</v>
      </c>
      <c r="C24" s="32" t="s">
        <v>1</v>
      </c>
      <c r="D24" s="31" t="s">
        <v>349</v>
      </c>
      <c r="E24" s="191">
        <f>'★計画GL+路床'!E21</f>
        <v>340</v>
      </c>
      <c r="F24" s="31"/>
      <c r="G24" s="32"/>
      <c r="H24" s="56"/>
      <c r="I24" s="32"/>
    </row>
    <row r="25" spans="1:9" s="7" customFormat="1" ht="27.75" customHeight="1" x14ac:dyDescent="0.4">
      <c r="A25" s="65" t="s">
        <v>72</v>
      </c>
      <c r="B25" s="31"/>
      <c r="C25" s="32"/>
      <c r="D25" s="31"/>
      <c r="E25" s="192"/>
      <c r="F25" s="31"/>
      <c r="G25" s="32"/>
      <c r="H25" s="56"/>
      <c r="I25" s="32"/>
    </row>
    <row r="26" spans="1:9" s="18" customFormat="1" ht="33" customHeight="1" x14ac:dyDescent="0.4">
      <c r="A26" s="9" t="s">
        <v>50</v>
      </c>
      <c r="B26" s="16"/>
      <c r="C26" s="21"/>
      <c r="D26" s="11"/>
      <c r="E26" s="188"/>
      <c r="F26" s="9"/>
      <c r="G26" s="209"/>
      <c r="H26" s="21"/>
      <c r="I26" s="209"/>
    </row>
    <row r="27" spans="1:9" s="18" customFormat="1" ht="33" customHeight="1" x14ac:dyDescent="0.4">
      <c r="A27" s="49" t="s">
        <v>51</v>
      </c>
      <c r="B27" s="50"/>
      <c r="C27" s="51"/>
      <c r="D27" s="52"/>
      <c r="E27" s="189"/>
      <c r="F27" s="49"/>
      <c r="G27" s="210"/>
      <c r="H27" s="51"/>
      <c r="I27" s="210"/>
    </row>
    <row r="28" spans="1:9" s="8" customFormat="1" ht="36.75" customHeight="1" x14ac:dyDescent="0.4">
      <c r="A28" s="147" t="s">
        <v>388</v>
      </c>
      <c r="B28" s="60">
        <f t="shared" ref="B28:B33" si="2">ROUND(E28,-1)</f>
        <v>540</v>
      </c>
      <c r="C28" s="149" t="s">
        <v>6</v>
      </c>
      <c r="D28" s="43" t="s">
        <v>387</v>
      </c>
      <c r="E28" s="194">
        <f>★作業土工!F39</f>
        <v>536.57000000000005</v>
      </c>
      <c r="F28" s="150"/>
      <c r="G28" s="149"/>
      <c r="H28" s="35"/>
      <c r="I28" s="149"/>
    </row>
    <row r="29" spans="1:9" s="8" customFormat="1" ht="54" customHeight="1" x14ac:dyDescent="0.4">
      <c r="A29" s="147" t="s">
        <v>389</v>
      </c>
      <c r="B29" s="60">
        <f t="shared" si="2"/>
        <v>260</v>
      </c>
      <c r="C29" s="149" t="s">
        <v>6</v>
      </c>
      <c r="D29" s="43" t="s">
        <v>387</v>
      </c>
      <c r="E29" s="194">
        <f>★作業土工!F40</f>
        <v>261.97000000000003</v>
      </c>
      <c r="F29" s="152"/>
      <c r="G29" s="149"/>
      <c r="H29" s="33"/>
      <c r="I29" s="149"/>
    </row>
    <row r="30" spans="1:9" s="8" customFormat="1" ht="54" customHeight="1" x14ac:dyDescent="0.4">
      <c r="A30" s="147" t="s">
        <v>390</v>
      </c>
      <c r="B30" s="187">
        <f>ROUND(E30,1)</f>
        <v>0.6</v>
      </c>
      <c r="C30" s="149" t="s">
        <v>6</v>
      </c>
      <c r="D30" s="43" t="s">
        <v>387</v>
      </c>
      <c r="E30" s="194">
        <f>★作業土工!F41</f>
        <v>0.6399999999999999</v>
      </c>
      <c r="F30" s="152"/>
      <c r="G30" s="149"/>
      <c r="H30" s="33"/>
      <c r="I30" s="149"/>
    </row>
    <row r="31" spans="1:9" s="8" customFormat="1" ht="54" customHeight="1" x14ac:dyDescent="0.4">
      <c r="A31" s="182" t="s">
        <v>449</v>
      </c>
      <c r="B31" s="187">
        <f>ROUND(E31,1)</f>
        <v>0.4</v>
      </c>
      <c r="C31" s="181" t="s">
        <v>450</v>
      </c>
      <c r="D31" s="43" t="s">
        <v>387</v>
      </c>
      <c r="E31" s="194">
        <f>★作業土工!F42</f>
        <v>0.39</v>
      </c>
      <c r="F31" s="152"/>
      <c r="G31" s="181"/>
      <c r="H31" s="33"/>
      <c r="I31" s="181"/>
    </row>
    <row r="32" spans="1:9" s="8" customFormat="1" ht="33" customHeight="1" x14ac:dyDescent="0.4">
      <c r="A32" s="54" t="s">
        <v>442</v>
      </c>
      <c r="B32" s="60">
        <f t="shared" si="2"/>
        <v>280</v>
      </c>
      <c r="C32" s="22" t="s">
        <v>7</v>
      </c>
      <c r="D32" s="14" t="s">
        <v>454</v>
      </c>
      <c r="E32" s="195">
        <f>E28-E29+E30+E31</f>
        <v>275.63</v>
      </c>
      <c r="F32" s="14"/>
      <c r="G32" s="22"/>
      <c r="H32" s="23"/>
      <c r="I32" s="22"/>
    </row>
    <row r="33" spans="1:9" s="8" customFormat="1" ht="33" customHeight="1" x14ac:dyDescent="0.4">
      <c r="A33" s="31" t="s">
        <v>443</v>
      </c>
      <c r="B33" s="60">
        <f t="shared" si="2"/>
        <v>280</v>
      </c>
      <c r="C33" s="22" t="s">
        <v>444</v>
      </c>
      <c r="D33" s="14" t="s">
        <v>454</v>
      </c>
      <c r="E33" s="195">
        <f>E32</f>
        <v>275.63</v>
      </c>
      <c r="F33" s="14"/>
      <c r="G33" s="22"/>
      <c r="H33" s="23"/>
      <c r="I33" s="22"/>
    </row>
    <row r="34" spans="1:9" s="8" customFormat="1" ht="33" customHeight="1" x14ac:dyDescent="0.4">
      <c r="A34" s="19" t="s">
        <v>52</v>
      </c>
      <c r="B34" s="14"/>
      <c r="C34" s="22"/>
      <c r="D34" s="14"/>
      <c r="E34" s="195"/>
      <c r="F34" s="14"/>
      <c r="G34" s="22"/>
      <c r="H34" s="23"/>
      <c r="I34" s="22"/>
    </row>
    <row r="35" spans="1:9" s="8" customFormat="1" ht="33" customHeight="1" x14ac:dyDescent="0.4">
      <c r="A35" s="14" t="s">
        <v>394</v>
      </c>
      <c r="B35" s="28">
        <f>ROUND(E35,0)</f>
        <v>18</v>
      </c>
      <c r="C35" s="22" t="s">
        <v>0</v>
      </c>
      <c r="D35" s="14" t="s">
        <v>391</v>
      </c>
      <c r="E35" s="195">
        <f>★排水構造物調書!E29</f>
        <v>17.649999999999999</v>
      </c>
      <c r="F35" s="14"/>
      <c r="G35" s="22"/>
      <c r="H35" s="23"/>
      <c r="I35" s="22"/>
    </row>
    <row r="36" spans="1:9" s="8" customFormat="1" ht="33" customHeight="1" x14ac:dyDescent="0.4">
      <c r="A36" s="14" t="s">
        <v>434</v>
      </c>
      <c r="B36" s="28">
        <f t="shared" ref="B36:B61" si="3">ROUND(E36,0)</f>
        <v>18</v>
      </c>
      <c r="C36" s="22" t="s">
        <v>65</v>
      </c>
      <c r="D36" s="31" t="s">
        <v>392</v>
      </c>
      <c r="E36" s="195">
        <f>★排水構造物調書!E30</f>
        <v>18</v>
      </c>
      <c r="F36" s="14"/>
      <c r="G36" s="22"/>
      <c r="H36" s="23"/>
      <c r="I36" s="22"/>
    </row>
    <row r="37" spans="1:9" s="8" customFormat="1" ht="33" customHeight="1" x14ac:dyDescent="0.4">
      <c r="A37" s="14" t="s">
        <v>395</v>
      </c>
      <c r="B37" s="28">
        <f t="shared" si="3"/>
        <v>11</v>
      </c>
      <c r="C37" s="22" t="s">
        <v>64</v>
      </c>
      <c r="D37" s="31" t="s">
        <v>30</v>
      </c>
      <c r="E37" s="195">
        <f>★排水構造物調書!E31</f>
        <v>10.5</v>
      </c>
      <c r="F37" s="14"/>
      <c r="G37" s="22"/>
      <c r="H37" s="23"/>
      <c r="I37" s="22"/>
    </row>
    <row r="38" spans="1:9" s="8" customFormat="1" ht="33" customHeight="1" x14ac:dyDescent="0.4">
      <c r="A38" s="14" t="s">
        <v>467</v>
      </c>
      <c r="B38" s="28">
        <f t="shared" si="3"/>
        <v>11</v>
      </c>
      <c r="C38" s="22" t="s">
        <v>65</v>
      </c>
      <c r="D38" s="31" t="s">
        <v>392</v>
      </c>
      <c r="E38" s="195">
        <f>★排水構造物調書!E32</f>
        <v>11</v>
      </c>
      <c r="F38" s="14"/>
      <c r="G38" s="22"/>
      <c r="H38" s="23"/>
      <c r="I38" s="22"/>
    </row>
    <row r="39" spans="1:9" s="8" customFormat="1" ht="30" customHeight="1" x14ac:dyDescent="0.4">
      <c r="A39" s="14" t="s">
        <v>397</v>
      </c>
      <c r="B39" s="28">
        <f t="shared" si="3"/>
        <v>90</v>
      </c>
      <c r="C39" s="22" t="s">
        <v>64</v>
      </c>
      <c r="D39" s="31" t="s">
        <v>392</v>
      </c>
      <c r="E39" s="195">
        <f>★排水構造物調書!E6</f>
        <v>90.149999999999991</v>
      </c>
      <c r="F39" s="14"/>
      <c r="G39" s="22"/>
      <c r="H39" s="23"/>
      <c r="I39" s="22"/>
    </row>
    <row r="40" spans="1:9" s="8" customFormat="1" ht="30" customHeight="1" x14ac:dyDescent="0.4">
      <c r="A40" s="14" t="s">
        <v>398</v>
      </c>
      <c r="B40" s="28">
        <f t="shared" si="3"/>
        <v>51</v>
      </c>
      <c r="C40" s="22" t="s">
        <v>76</v>
      </c>
      <c r="D40" s="31" t="s">
        <v>392</v>
      </c>
      <c r="E40" s="195">
        <f>★排水構造物調書!E7</f>
        <v>50.85</v>
      </c>
      <c r="F40" s="14"/>
      <c r="G40" s="22"/>
      <c r="H40" s="23"/>
      <c r="I40" s="22"/>
    </row>
    <row r="41" spans="1:9" s="8" customFormat="1" ht="30" customHeight="1" x14ac:dyDescent="0.4">
      <c r="A41" s="14" t="s">
        <v>399</v>
      </c>
      <c r="B41" s="28">
        <f t="shared" si="3"/>
        <v>39</v>
      </c>
      <c r="C41" s="22" t="s">
        <v>76</v>
      </c>
      <c r="D41" s="31" t="s">
        <v>392</v>
      </c>
      <c r="E41" s="195">
        <f>★排水構造物調書!E8</f>
        <v>39.4</v>
      </c>
      <c r="F41" s="14"/>
      <c r="G41" s="22"/>
      <c r="H41" s="23"/>
      <c r="I41" s="22"/>
    </row>
    <row r="42" spans="1:9" s="8" customFormat="1" ht="30" customHeight="1" x14ac:dyDescent="0.4">
      <c r="A42" s="14" t="s">
        <v>400</v>
      </c>
      <c r="B42" s="28">
        <f t="shared" si="3"/>
        <v>19</v>
      </c>
      <c r="C42" s="22" t="s">
        <v>64</v>
      </c>
      <c r="D42" s="31" t="s">
        <v>392</v>
      </c>
      <c r="E42" s="195">
        <f>★排水構造物調書!E9</f>
        <v>19.100000000000001</v>
      </c>
      <c r="F42" s="14"/>
      <c r="G42" s="22"/>
      <c r="H42" s="23"/>
      <c r="I42" s="22"/>
    </row>
    <row r="43" spans="1:9" s="8" customFormat="1" ht="32.25" customHeight="1" x14ac:dyDescent="0.4">
      <c r="A43" s="14" t="s">
        <v>401</v>
      </c>
      <c r="B43" s="28">
        <f t="shared" si="3"/>
        <v>4</v>
      </c>
      <c r="C43" s="22" t="s">
        <v>64</v>
      </c>
      <c r="D43" s="14" t="s">
        <v>391</v>
      </c>
      <c r="E43" s="195">
        <f>★排水構造物調書!E10</f>
        <v>4</v>
      </c>
      <c r="F43" s="14"/>
      <c r="G43" s="22"/>
      <c r="H43" s="23"/>
      <c r="I43" s="22"/>
    </row>
    <row r="44" spans="1:9" s="8" customFormat="1" ht="32.25" customHeight="1" x14ac:dyDescent="0.4">
      <c r="A44" s="14" t="s">
        <v>402</v>
      </c>
      <c r="B44" s="28">
        <f t="shared" si="3"/>
        <v>4</v>
      </c>
      <c r="C44" s="22" t="s">
        <v>0</v>
      </c>
      <c r="D44" s="31" t="s">
        <v>392</v>
      </c>
      <c r="E44" s="195">
        <f>★排水構造物調書!E11</f>
        <v>4</v>
      </c>
      <c r="F44" s="14"/>
      <c r="G44" s="22"/>
      <c r="H44" s="23"/>
      <c r="I44" s="22"/>
    </row>
    <row r="45" spans="1:9" s="8" customFormat="1" ht="32.25" customHeight="1" x14ac:dyDescent="0.4">
      <c r="A45" s="14" t="s">
        <v>403</v>
      </c>
      <c r="B45" s="28">
        <f t="shared" si="3"/>
        <v>6</v>
      </c>
      <c r="C45" s="22" t="s">
        <v>64</v>
      </c>
      <c r="D45" s="31" t="s">
        <v>392</v>
      </c>
      <c r="E45" s="195">
        <f>★排水構造物調書!E12</f>
        <v>5.7</v>
      </c>
      <c r="F45" s="14"/>
      <c r="G45" s="22"/>
      <c r="H45" s="23"/>
      <c r="I45" s="22"/>
    </row>
    <row r="46" spans="1:9" s="8" customFormat="1" ht="32.25" customHeight="1" x14ac:dyDescent="0.4">
      <c r="A46" s="14" t="s">
        <v>404</v>
      </c>
      <c r="B46" s="28">
        <f t="shared" si="3"/>
        <v>6</v>
      </c>
      <c r="C46" s="22" t="s">
        <v>64</v>
      </c>
      <c r="D46" s="31" t="s">
        <v>392</v>
      </c>
      <c r="E46" s="195">
        <f>★排水構造物調書!E13</f>
        <v>5.7</v>
      </c>
      <c r="F46" s="14"/>
      <c r="G46" s="22"/>
      <c r="H46" s="23"/>
      <c r="I46" s="22"/>
    </row>
    <row r="47" spans="1:9" s="8" customFormat="1" ht="32.25" customHeight="1" x14ac:dyDescent="0.4">
      <c r="A47" s="14" t="s">
        <v>405</v>
      </c>
      <c r="B47" s="28">
        <f t="shared" si="3"/>
        <v>12</v>
      </c>
      <c r="C47" s="22" t="s">
        <v>0</v>
      </c>
      <c r="D47" s="31" t="s">
        <v>392</v>
      </c>
      <c r="E47" s="195">
        <f>★排水構造物調書!E14</f>
        <v>12.4</v>
      </c>
      <c r="F47" s="14"/>
      <c r="G47" s="22"/>
      <c r="H47" s="23"/>
      <c r="I47" s="22"/>
    </row>
    <row r="48" spans="1:9" s="8" customFormat="1" ht="33" customHeight="1" x14ac:dyDescent="0.4">
      <c r="A48" s="14" t="s">
        <v>406</v>
      </c>
      <c r="B48" s="28">
        <f t="shared" si="3"/>
        <v>208</v>
      </c>
      <c r="C48" s="22" t="s">
        <v>65</v>
      </c>
      <c r="D48" s="31" t="s">
        <v>392</v>
      </c>
      <c r="E48" s="195">
        <f>★排水構造物調書!E15</f>
        <v>208</v>
      </c>
      <c r="F48" s="14"/>
      <c r="G48" s="22"/>
      <c r="H48" s="23"/>
      <c r="I48" s="22"/>
    </row>
    <row r="49" spans="1:9" s="8" customFormat="1" ht="33" customHeight="1" x14ac:dyDescent="0.4">
      <c r="A49" s="14" t="s">
        <v>396</v>
      </c>
      <c r="B49" s="28">
        <f t="shared" si="3"/>
        <v>23</v>
      </c>
      <c r="C49" s="22" t="s">
        <v>65</v>
      </c>
      <c r="D49" s="31" t="s">
        <v>392</v>
      </c>
      <c r="E49" s="195">
        <f>★排水構造物調書!E16</f>
        <v>23</v>
      </c>
      <c r="F49" s="14"/>
      <c r="G49" s="22"/>
      <c r="H49" s="23"/>
      <c r="I49" s="22"/>
    </row>
    <row r="50" spans="1:9" s="8" customFormat="1" ht="33" customHeight="1" x14ac:dyDescent="0.4">
      <c r="A50" s="14" t="s">
        <v>407</v>
      </c>
      <c r="B50" s="28">
        <f t="shared" si="3"/>
        <v>12</v>
      </c>
      <c r="C50" s="22" t="s">
        <v>64</v>
      </c>
      <c r="D50" s="14" t="s">
        <v>80</v>
      </c>
      <c r="E50" s="195">
        <f>★排水構造物調書!E18</f>
        <v>11.7</v>
      </c>
      <c r="F50" s="14"/>
      <c r="G50" s="22"/>
      <c r="H50" s="23"/>
      <c r="I50" s="22"/>
    </row>
    <row r="51" spans="1:9" s="8" customFormat="1" ht="33" customHeight="1" x14ac:dyDescent="0.4">
      <c r="A51" s="14" t="s">
        <v>408</v>
      </c>
      <c r="B51" s="28">
        <f t="shared" si="3"/>
        <v>5</v>
      </c>
      <c r="C51" s="22" t="s">
        <v>0</v>
      </c>
      <c r="D51" s="66">
        <v>5.4</v>
      </c>
      <c r="E51" s="195">
        <f>★排水構造物調書!E19</f>
        <v>5.4</v>
      </c>
      <c r="F51" s="14"/>
      <c r="G51" s="22"/>
      <c r="H51" s="23"/>
      <c r="I51" s="22"/>
    </row>
    <row r="52" spans="1:9" s="8" customFormat="1" ht="33" customHeight="1" x14ac:dyDescent="0.4">
      <c r="A52" s="14" t="s">
        <v>409</v>
      </c>
      <c r="B52" s="28">
        <f t="shared" si="3"/>
        <v>15</v>
      </c>
      <c r="C52" s="22" t="s">
        <v>0</v>
      </c>
      <c r="D52" s="14" t="s">
        <v>81</v>
      </c>
      <c r="E52" s="195">
        <f>★排水構造物調書!E20</f>
        <v>15.3</v>
      </c>
      <c r="F52" s="14"/>
      <c r="G52" s="22"/>
      <c r="H52" s="23"/>
      <c r="I52" s="22"/>
    </row>
    <row r="53" spans="1:9" s="8" customFormat="1" ht="33" customHeight="1" x14ac:dyDescent="0.4">
      <c r="A53" s="14" t="s">
        <v>410</v>
      </c>
      <c r="B53" s="28">
        <f t="shared" si="3"/>
        <v>17</v>
      </c>
      <c r="C53" s="22" t="s">
        <v>65</v>
      </c>
      <c r="D53" s="14" t="s">
        <v>87</v>
      </c>
      <c r="E53" s="195">
        <f>★排水構造物調書!E21</f>
        <v>17</v>
      </c>
      <c r="F53" s="14"/>
      <c r="G53" s="22"/>
      <c r="H53" s="23"/>
      <c r="I53" s="22"/>
    </row>
    <row r="54" spans="1:9" s="8" customFormat="1" ht="33" customHeight="1" x14ac:dyDescent="0.4">
      <c r="A54" s="14" t="s">
        <v>411</v>
      </c>
      <c r="B54" s="28">
        <f t="shared" si="3"/>
        <v>8</v>
      </c>
      <c r="C54" s="22" t="s">
        <v>63</v>
      </c>
      <c r="D54" s="31" t="s">
        <v>257</v>
      </c>
      <c r="E54" s="195">
        <f>★ｲﾝﾊﾞｰﾄ計算書!H58</f>
        <v>8.4699999999999989</v>
      </c>
      <c r="F54" s="14"/>
      <c r="G54" s="22"/>
      <c r="H54" s="23"/>
      <c r="I54" s="22"/>
    </row>
    <row r="55" spans="1:9" s="8" customFormat="1" ht="33" customHeight="1" x14ac:dyDescent="0.4">
      <c r="A55" s="14" t="s">
        <v>440</v>
      </c>
      <c r="B55" s="28">
        <v>4</v>
      </c>
      <c r="C55" s="22" t="s">
        <v>439</v>
      </c>
      <c r="D55" s="31" t="s">
        <v>426</v>
      </c>
      <c r="E55" s="195">
        <v>3.6</v>
      </c>
      <c r="F55" s="14"/>
      <c r="G55" s="22"/>
      <c r="H55" s="23"/>
      <c r="I55" s="22"/>
    </row>
    <row r="56" spans="1:9" s="8" customFormat="1" ht="33" customHeight="1" x14ac:dyDescent="0.4">
      <c r="A56" s="19" t="s">
        <v>53</v>
      </c>
      <c r="B56" s="14"/>
      <c r="C56" s="22"/>
      <c r="D56" s="14"/>
      <c r="E56" s="195"/>
      <c r="F56" s="14"/>
      <c r="G56" s="22"/>
      <c r="H56" s="23"/>
      <c r="I56" s="22"/>
    </row>
    <row r="57" spans="1:9" s="8" customFormat="1" ht="33" customHeight="1" x14ac:dyDescent="0.4">
      <c r="A57" s="14" t="s">
        <v>412</v>
      </c>
      <c r="B57" s="28">
        <f t="shared" si="3"/>
        <v>18</v>
      </c>
      <c r="C57" s="22" t="s">
        <v>64</v>
      </c>
      <c r="D57" s="14" t="s">
        <v>391</v>
      </c>
      <c r="E57" s="195">
        <f>★排水構造物調書!E37</f>
        <v>18</v>
      </c>
      <c r="F57" s="14"/>
      <c r="G57" s="22"/>
      <c r="H57" s="23"/>
      <c r="I57" s="22"/>
    </row>
    <row r="58" spans="1:9" s="8" customFormat="1" ht="33" customHeight="1" x14ac:dyDescent="0.4">
      <c r="A58" s="14" t="s">
        <v>413</v>
      </c>
      <c r="B58" s="28">
        <f t="shared" si="3"/>
        <v>33</v>
      </c>
      <c r="C58" s="22" t="s">
        <v>64</v>
      </c>
      <c r="D58" s="14" t="s">
        <v>30</v>
      </c>
      <c r="E58" s="195">
        <f>★排水構造物調書!E38</f>
        <v>32.799999999999997</v>
      </c>
      <c r="F58" s="14"/>
      <c r="G58" s="22"/>
      <c r="H58" s="23"/>
      <c r="I58" s="22"/>
    </row>
    <row r="59" spans="1:9" s="8" customFormat="1" ht="33" customHeight="1" x14ac:dyDescent="0.4">
      <c r="A59" s="14" t="s">
        <v>414</v>
      </c>
      <c r="B59" s="28">
        <f t="shared" si="3"/>
        <v>8</v>
      </c>
      <c r="C59" s="22" t="s">
        <v>0</v>
      </c>
      <c r="D59" s="66" t="s">
        <v>392</v>
      </c>
      <c r="E59" s="195">
        <f>★排水構造物調書!E39</f>
        <v>8.4499999999999993</v>
      </c>
      <c r="F59" s="14"/>
      <c r="G59" s="22"/>
      <c r="H59" s="23"/>
      <c r="I59" s="22"/>
    </row>
    <row r="60" spans="1:9" s="8" customFormat="1" ht="33" customHeight="1" x14ac:dyDescent="0.4">
      <c r="A60" s="14" t="s">
        <v>415</v>
      </c>
      <c r="B60" s="28">
        <f t="shared" si="3"/>
        <v>11</v>
      </c>
      <c r="C60" s="22" t="s">
        <v>64</v>
      </c>
      <c r="D60" s="66" t="s">
        <v>30</v>
      </c>
      <c r="E60" s="195">
        <f>★排水構造物調書!E44</f>
        <v>10.7</v>
      </c>
      <c r="F60" s="14"/>
      <c r="G60" s="22"/>
      <c r="H60" s="23"/>
      <c r="I60" s="22"/>
    </row>
    <row r="61" spans="1:9" s="8" customFormat="1" ht="33" customHeight="1" x14ac:dyDescent="0.4">
      <c r="A61" s="14" t="s">
        <v>416</v>
      </c>
      <c r="B61" s="28">
        <f t="shared" si="3"/>
        <v>7</v>
      </c>
      <c r="C61" s="22" t="s">
        <v>85</v>
      </c>
      <c r="D61" s="14" t="s">
        <v>30</v>
      </c>
      <c r="E61" s="195">
        <f>★排水構造物調書!E45</f>
        <v>6.5500000000000007</v>
      </c>
      <c r="F61" s="14"/>
      <c r="G61" s="22"/>
      <c r="H61" s="23"/>
      <c r="I61" s="22"/>
    </row>
    <row r="62" spans="1:9" s="8" customFormat="1" ht="33" customHeight="1" x14ac:dyDescent="0.4">
      <c r="A62" s="19" t="s">
        <v>54</v>
      </c>
      <c r="B62" s="14"/>
      <c r="C62" s="22"/>
      <c r="D62" s="14"/>
      <c r="E62" s="195"/>
      <c r="F62" s="14"/>
      <c r="G62" s="22"/>
      <c r="H62" s="23"/>
      <c r="I62" s="22"/>
    </row>
    <row r="63" spans="1:9" s="8" customFormat="1" ht="33" customHeight="1" x14ac:dyDescent="0.4">
      <c r="A63" s="14" t="s">
        <v>417</v>
      </c>
      <c r="B63" s="28">
        <f>E63</f>
        <v>17</v>
      </c>
      <c r="C63" s="22" t="s">
        <v>213</v>
      </c>
      <c r="D63" s="14" t="s">
        <v>393</v>
      </c>
      <c r="E63" s="196">
        <f>★桝調書!AB4</f>
        <v>17</v>
      </c>
      <c r="F63" s="14"/>
      <c r="G63" s="22"/>
      <c r="H63" s="23"/>
      <c r="I63" s="22"/>
    </row>
    <row r="64" spans="1:9" s="8" customFormat="1" ht="33" customHeight="1" x14ac:dyDescent="0.4">
      <c r="A64" s="14" t="s">
        <v>418</v>
      </c>
      <c r="B64" s="28">
        <f t="shared" ref="B64:B74" si="4">E64</f>
        <v>6</v>
      </c>
      <c r="C64" s="22" t="s">
        <v>213</v>
      </c>
      <c r="D64" s="14" t="s">
        <v>30</v>
      </c>
      <c r="E64" s="196">
        <f>★桝調書!AB5</f>
        <v>6</v>
      </c>
      <c r="F64" s="14"/>
      <c r="G64" s="22"/>
      <c r="H64" s="23"/>
      <c r="I64" s="22"/>
    </row>
    <row r="65" spans="1:9" s="8" customFormat="1" ht="33" customHeight="1" x14ac:dyDescent="0.4">
      <c r="A65" s="14" t="s">
        <v>419</v>
      </c>
      <c r="B65" s="28">
        <f t="shared" si="4"/>
        <v>4</v>
      </c>
      <c r="C65" s="22" t="s">
        <v>213</v>
      </c>
      <c r="D65" s="14" t="s">
        <v>30</v>
      </c>
      <c r="E65" s="196">
        <f>★桝調書!AB6</f>
        <v>4</v>
      </c>
      <c r="F65" s="14"/>
      <c r="G65" s="22"/>
      <c r="H65" s="23"/>
      <c r="I65" s="22"/>
    </row>
    <row r="66" spans="1:9" s="8" customFormat="1" ht="33" customHeight="1" x14ac:dyDescent="0.4">
      <c r="A66" s="14" t="s">
        <v>420</v>
      </c>
      <c r="B66" s="28">
        <f t="shared" si="4"/>
        <v>1</v>
      </c>
      <c r="C66" s="22" t="s">
        <v>213</v>
      </c>
      <c r="D66" s="14" t="s">
        <v>30</v>
      </c>
      <c r="E66" s="196">
        <f>★桝調書!AB7</f>
        <v>1</v>
      </c>
      <c r="F66" s="14"/>
      <c r="G66" s="22"/>
      <c r="H66" s="23"/>
      <c r="I66" s="22"/>
    </row>
    <row r="67" spans="1:9" s="8" customFormat="1" ht="33" customHeight="1" x14ac:dyDescent="0.4">
      <c r="A67" s="14" t="s">
        <v>421</v>
      </c>
      <c r="B67" s="28">
        <f t="shared" si="4"/>
        <v>1</v>
      </c>
      <c r="C67" s="22" t="s">
        <v>213</v>
      </c>
      <c r="D67" s="14" t="s">
        <v>30</v>
      </c>
      <c r="E67" s="196">
        <f>★桝調書!AB8</f>
        <v>1</v>
      </c>
      <c r="F67" s="14"/>
      <c r="G67" s="22"/>
      <c r="H67" s="23"/>
      <c r="I67" s="22"/>
    </row>
    <row r="68" spans="1:9" s="8" customFormat="1" ht="33" customHeight="1" x14ac:dyDescent="0.4">
      <c r="A68" s="14" t="s">
        <v>422</v>
      </c>
      <c r="B68" s="28">
        <f t="shared" si="4"/>
        <v>1</v>
      </c>
      <c r="C68" s="22" t="s">
        <v>213</v>
      </c>
      <c r="D68" s="14" t="s">
        <v>30</v>
      </c>
      <c r="E68" s="196">
        <f>★桝調書!AB9</f>
        <v>1</v>
      </c>
      <c r="F68" s="14"/>
      <c r="G68" s="22"/>
      <c r="H68" s="23"/>
      <c r="I68" s="22"/>
    </row>
    <row r="69" spans="1:9" s="8" customFormat="1" ht="33" customHeight="1" x14ac:dyDescent="0.4">
      <c r="A69" s="14" t="s">
        <v>423</v>
      </c>
      <c r="B69" s="28">
        <f t="shared" si="4"/>
        <v>2</v>
      </c>
      <c r="C69" s="22" t="s">
        <v>213</v>
      </c>
      <c r="D69" s="14" t="s">
        <v>30</v>
      </c>
      <c r="E69" s="196">
        <f>★桝調書!AB10</f>
        <v>2</v>
      </c>
      <c r="F69" s="14"/>
      <c r="G69" s="22"/>
      <c r="H69" s="23"/>
      <c r="I69" s="22"/>
    </row>
    <row r="70" spans="1:9" s="8" customFormat="1" ht="33" customHeight="1" x14ac:dyDescent="0.4">
      <c r="A70" s="14" t="s">
        <v>460</v>
      </c>
      <c r="B70" s="28">
        <f t="shared" si="4"/>
        <v>2</v>
      </c>
      <c r="C70" s="22" t="s">
        <v>213</v>
      </c>
      <c r="D70" s="14" t="s">
        <v>459</v>
      </c>
      <c r="E70" s="196">
        <f>★桝調書!AB11</f>
        <v>2</v>
      </c>
      <c r="F70" s="14"/>
      <c r="G70" s="22"/>
      <c r="H70" s="23"/>
      <c r="I70" s="22"/>
    </row>
    <row r="71" spans="1:9" s="8" customFormat="1" ht="33" customHeight="1" x14ac:dyDescent="0.4">
      <c r="A71" s="14" t="s">
        <v>461</v>
      </c>
      <c r="B71" s="28">
        <f t="shared" si="4"/>
        <v>2</v>
      </c>
      <c r="C71" s="22" t="s">
        <v>213</v>
      </c>
      <c r="D71" s="14" t="s">
        <v>459</v>
      </c>
      <c r="E71" s="196">
        <f>★桝調書!AB12</f>
        <v>2</v>
      </c>
      <c r="F71" s="14"/>
      <c r="G71" s="22"/>
      <c r="H71" s="23"/>
      <c r="I71" s="22"/>
    </row>
    <row r="72" spans="1:9" s="8" customFormat="1" ht="33" customHeight="1" x14ac:dyDescent="0.4">
      <c r="A72" s="14" t="s">
        <v>462</v>
      </c>
      <c r="B72" s="28">
        <f t="shared" si="4"/>
        <v>1</v>
      </c>
      <c r="C72" s="22" t="s">
        <v>213</v>
      </c>
      <c r="D72" s="14" t="s">
        <v>459</v>
      </c>
      <c r="E72" s="196">
        <f>★桝調書!AB13</f>
        <v>1</v>
      </c>
      <c r="F72" s="14"/>
      <c r="G72" s="22"/>
      <c r="H72" s="23"/>
      <c r="I72" s="22"/>
    </row>
    <row r="73" spans="1:9" s="8" customFormat="1" ht="33" customHeight="1" x14ac:dyDescent="0.4">
      <c r="A73" s="14" t="s">
        <v>424</v>
      </c>
      <c r="B73" s="28">
        <f t="shared" si="4"/>
        <v>2</v>
      </c>
      <c r="C73" s="22" t="s">
        <v>213</v>
      </c>
      <c r="D73" s="14" t="s">
        <v>30</v>
      </c>
      <c r="E73" s="196">
        <f>★桝調書!AB18</f>
        <v>2</v>
      </c>
      <c r="F73" s="14"/>
      <c r="G73" s="22"/>
      <c r="H73" s="23"/>
      <c r="I73" s="22"/>
    </row>
    <row r="74" spans="1:9" s="8" customFormat="1" ht="33" customHeight="1" x14ac:dyDescent="0.4">
      <c r="A74" s="14" t="s">
        <v>425</v>
      </c>
      <c r="B74" s="28">
        <f t="shared" si="4"/>
        <v>1</v>
      </c>
      <c r="C74" s="22" t="s">
        <v>213</v>
      </c>
      <c r="D74" s="14" t="s">
        <v>30</v>
      </c>
      <c r="E74" s="196">
        <f>★桝調書!AB19</f>
        <v>1</v>
      </c>
      <c r="F74" s="14"/>
      <c r="G74" s="22"/>
      <c r="H74" s="23"/>
      <c r="I74" s="22"/>
    </row>
    <row r="75" spans="1:9" s="8" customFormat="1" ht="33" customHeight="1" x14ac:dyDescent="0.4">
      <c r="A75" s="19" t="s">
        <v>55</v>
      </c>
      <c r="B75" s="14"/>
      <c r="C75" s="22"/>
      <c r="D75" s="53"/>
      <c r="E75" s="195"/>
      <c r="F75" s="14"/>
      <c r="G75" s="22"/>
      <c r="H75" s="23"/>
      <c r="I75" s="22"/>
    </row>
    <row r="76" spans="1:9" s="8" customFormat="1" ht="33" customHeight="1" x14ac:dyDescent="0.4">
      <c r="A76" s="19" t="s">
        <v>68</v>
      </c>
      <c r="B76" s="14"/>
      <c r="C76" s="22"/>
      <c r="D76" s="53"/>
      <c r="E76" s="195"/>
      <c r="F76" s="14"/>
      <c r="G76" s="22"/>
      <c r="H76" s="23"/>
      <c r="I76" s="22"/>
    </row>
    <row r="77" spans="1:9" s="8" customFormat="1" ht="33" customHeight="1" x14ac:dyDescent="0.4">
      <c r="A77" s="14" t="s">
        <v>453</v>
      </c>
      <c r="B77" s="14">
        <v>98</v>
      </c>
      <c r="C77" s="22" t="s">
        <v>64</v>
      </c>
      <c r="D77" s="31" t="s">
        <v>426</v>
      </c>
      <c r="E77" s="195">
        <v>98</v>
      </c>
      <c r="F77" s="14"/>
      <c r="G77" s="22"/>
      <c r="H77" s="23"/>
      <c r="I77" s="22"/>
    </row>
    <row r="78" spans="1:9" s="8" customFormat="1" ht="33" customHeight="1" x14ac:dyDescent="0.4">
      <c r="A78" s="19" t="s">
        <v>56</v>
      </c>
      <c r="B78" s="14"/>
      <c r="C78" s="22"/>
      <c r="D78" s="14"/>
      <c r="E78" s="195"/>
      <c r="F78" s="14"/>
      <c r="G78" s="22"/>
      <c r="H78" s="23"/>
      <c r="I78" s="22"/>
    </row>
    <row r="79" spans="1:9" s="8" customFormat="1" ht="33" customHeight="1" x14ac:dyDescent="0.4">
      <c r="A79" s="14" t="s">
        <v>307</v>
      </c>
      <c r="B79" s="28">
        <f t="shared" ref="B79:B84" si="5">ROUND(E79,0)</f>
        <v>169</v>
      </c>
      <c r="C79" s="22" t="s">
        <v>62</v>
      </c>
      <c r="D79" s="53"/>
      <c r="E79" s="195">
        <f>★階段!G37</f>
        <v>168.63000000000002</v>
      </c>
      <c r="F79" s="14"/>
      <c r="G79" s="22"/>
      <c r="H79" s="23"/>
      <c r="I79" s="22"/>
    </row>
    <row r="80" spans="1:9" s="8" customFormat="1" ht="33" customHeight="1" x14ac:dyDescent="0.4">
      <c r="A80" s="14" t="s">
        <v>308</v>
      </c>
      <c r="B80" s="28">
        <f t="shared" si="5"/>
        <v>27</v>
      </c>
      <c r="C80" s="22" t="s">
        <v>63</v>
      </c>
      <c r="D80" s="53"/>
      <c r="E80" s="195">
        <f>★階段!G38</f>
        <v>27.21</v>
      </c>
      <c r="F80" s="14"/>
      <c r="G80" s="22"/>
      <c r="H80" s="23"/>
      <c r="I80" s="22"/>
    </row>
    <row r="81" spans="1:14" s="8" customFormat="1" ht="33" customHeight="1" x14ac:dyDescent="0.4">
      <c r="A81" s="14" t="s">
        <v>69</v>
      </c>
      <c r="B81" s="28">
        <f t="shared" si="5"/>
        <v>107</v>
      </c>
      <c r="C81" s="22" t="s">
        <v>62</v>
      </c>
      <c r="D81" s="53"/>
      <c r="E81" s="195">
        <f>★階段!G39</f>
        <v>106.50999999999999</v>
      </c>
      <c r="F81" s="14"/>
      <c r="G81" s="22"/>
      <c r="H81" s="23"/>
      <c r="I81" s="22"/>
    </row>
    <row r="82" spans="1:14" s="8" customFormat="1" ht="33" customHeight="1" x14ac:dyDescent="0.4">
      <c r="A82" s="212" t="s">
        <v>306</v>
      </c>
      <c r="B82" s="28">
        <f t="shared" si="5"/>
        <v>9</v>
      </c>
      <c r="C82" s="22" t="s">
        <v>1</v>
      </c>
      <c r="D82" s="53"/>
      <c r="E82" s="195">
        <f>★階段!G41</f>
        <v>9.2999999999999989</v>
      </c>
      <c r="F82" s="14"/>
      <c r="G82" s="22"/>
      <c r="H82" s="23"/>
      <c r="I82" s="22"/>
    </row>
    <row r="83" spans="1:14" s="8" customFormat="1" ht="33" customHeight="1" x14ac:dyDescent="0.4">
      <c r="A83" s="31" t="s">
        <v>313</v>
      </c>
      <c r="B83" s="55">
        <f t="shared" si="5"/>
        <v>27</v>
      </c>
      <c r="C83" s="32" t="s">
        <v>64</v>
      </c>
      <c r="D83" s="31" t="s">
        <v>441</v>
      </c>
      <c r="E83" s="213">
        <v>27</v>
      </c>
      <c r="F83" s="67"/>
      <c r="G83" s="37"/>
      <c r="H83" s="38"/>
      <c r="I83" s="37"/>
      <c r="J83" s="39"/>
    </row>
    <row r="84" spans="1:14" s="8" customFormat="1" ht="33" customHeight="1" x14ac:dyDescent="0.4">
      <c r="A84" s="31" t="s">
        <v>312</v>
      </c>
      <c r="B84" s="55">
        <f t="shared" si="5"/>
        <v>7</v>
      </c>
      <c r="C84" s="32" t="s">
        <v>289</v>
      </c>
      <c r="D84" s="180" t="s">
        <v>392</v>
      </c>
      <c r="E84" s="213">
        <v>7.4</v>
      </c>
      <c r="F84" s="67"/>
      <c r="G84" s="37"/>
      <c r="H84" s="38"/>
      <c r="I84" s="37"/>
      <c r="J84" s="39"/>
    </row>
    <row r="85" spans="1:14" s="8" customFormat="1" ht="80.25" customHeight="1" x14ac:dyDescent="0.4">
      <c r="A85" s="14" t="s">
        <v>311</v>
      </c>
      <c r="B85" s="14">
        <v>5</v>
      </c>
      <c r="C85" s="22" t="s">
        <v>290</v>
      </c>
      <c r="D85" s="180" t="s">
        <v>446</v>
      </c>
      <c r="E85" s="41">
        <v>5</v>
      </c>
      <c r="F85" s="14"/>
      <c r="G85" s="22"/>
      <c r="H85" s="23"/>
      <c r="I85" s="22"/>
    </row>
    <row r="86" spans="1:14" s="8" customFormat="1" ht="33" customHeight="1" x14ac:dyDescent="0.4">
      <c r="A86" s="19" t="s">
        <v>58</v>
      </c>
      <c r="B86" s="14"/>
      <c r="C86" s="22"/>
      <c r="D86" s="14"/>
      <c r="E86" s="195"/>
      <c r="F86" s="14"/>
      <c r="G86" s="22"/>
      <c r="H86" s="23"/>
      <c r="I86" s="22"/>
    </row>
    <row r="87" spans="1:14" s="8" customFormat="1" ht="42.75" customHeight="1" x14ac:dyDescent="0.4">
      <c r="A87" s="147" t="s">
        <v>435</v>
      </c>
      <c r="B87" s="148">
        <v>2</v>
      </c>
      <c r="C87" s="149" t="s">
        <v>202</v>
      </c>
      <c r="D87" s="43"/>
      <c r="E87" s="194"/>
      <c r="F87" s="14"/>
      <c r="G87" s="22"/>
      <c r="H87" s="23"/>
      <c r="I87" s="22"/>
      <c r="N87" s="57"/>
    </row>
    <row r="88" spans="1:14" s="8" customFormat="1" ht="42.75" customHeight="1" x14ac:dyDescent="0.4">
      <c r="A88" s="147" t="s">
        <v>436</v>
      </c>
      <c r="B88" s="148">
        <v>1</v>
      </c>
      <c r="C88" s="149" t="s">
        <v>202</v>
      </c>
      <c r="D88" s="43" t="s">
        <v>432</v>
      </c>
      <c r="E88" s="194"/>
      <c r="F88" s="14"/>
      <c r="G88" s="22"/>
      <c r="H88" s="23"/>
      <c r="I88" s="22"/>
    </row>
    <row r="89" spans="1:14" s="8" customFormat="1" ht="42.75" customHeight="1" x14ac:dyDescent="0.4">
      <c r="A89" s="147" t="s">
        <v>437</v>
      </c>
      <c r="B89" s="148">
        <v>1</v>
      </c>
      <c r="C89" s="149" t="s">
        <v>202</v>
      </c>
      <c r="D89" s="43"/>
      <c r="E89" s="194"/>
      <c r="F89" s="14"/>
      <c r="G89" s="22"/>
      <c r="H89" s="23"/>
      <c r="I89" s="22"/>
    </row>
    <row r="90" spans="1:14" s="8" customFormat="1" ht="23.25" customHeight="1" x14ac:dyDescent="0.4">
      <c r="A90" s="227" t="s">
        <v>438</v>
      </c>
      <c r="B90" s="234">
        <v>1</v>
      </c>
      <c r="C90" s="237" t="s">
        <v>256</v>
      </c>
      <c r="D90" s="43" t="s">
        <v>262</v>
      </c>
      <c r="E90" s="194">
        <f>★ベンチ基礎工!J53</f>
        <v>12.09</v>
      </c>
      <c r="F90" s="248"/>
      <c r="G90" s="231"/>
      <c r="H90" s="23"/>
      <c r="I90" s="22"/>
    </row>
    <row r="91" spans="1:14" s="8" customFormat="1" ht="23.25" customHeight="1" x14ac:dyDescent="0.4">
      <c r="A91" s="233"/>
      <c r="B91" s="235"/>
      <c r="C91" s="238"/>
      <c r="D91" s="29" t="s">
        <v>263</v>
      </c>
      <c r="E91" s="197">
        <f>★ベンチ基礎工!J54</f>
        <v>72.819999999999993</v>
      </c>
      <c r="F91" s="249"/>
      <c r="G91" s="251"/>
      <c r="H91" s="23"/>
      <c r="I91" s="22"/>
    </row>
    <row r="92" spans="1:14" s="8" customFormat="1" ht="23.25" customHeight="1" x14ac:dyDescent="0.4">
      <c r="A92" s="233"/>
      <c r="B92" s="235"/>
      <c r="C92" s="238"/>
      <c r="D92" s="29" t="s">
        <v>268</v>
      </c>
      <c r="E92" s="197">
        <f>★ベンチ基礎工!J56</f>
        <v>399.58</v>
      </c>
      <c r="F92" s="249"/>
      <c r="G92" s="251"/>
      <c r="H92" s="23"/>
      <c r="I92" s="22"/>
    </row>
    <row r="93" spans="1:14" s="8" customFormat="1" ht="23.25" customHeight="1" x14ac:dyDescent="0.4">
      <c r="A93" s="233"/>
      <c r="B93" s="235"/>
      <c r="C93" s="238"/>
      <c r="D93" s="29" t="s">
        <v>278</v>
      </c>
      <c r="E93" s="197">
        <f>★ベンチ基礎工!J59</f>
        <v>2.33</v>
      </c>
      <c r="F93" s="249"/>
      <c r="G93" s="251"/>
      <c r="H93" s="23"/>
      <c r="I93" s="22"/>
    </row>
    <row r="94" spans="1:14" s="8" customFormat="1" ht="23.25" customHeight="1" x14ac:dyDescent="0.4">
      <c r="A94" s="228"/>
      <c r="B94" s="236"/>
      <c r="C94" s="239"/>
      <c r="D94" s="44" t="s">
        <v>264</v>
      </c>
      <c r="E94" s="198">
        <f>★ベンチ基礎工!J60</f>
        <v>41.879999999999995</v>
      </c>
      <c r="F94" s="250"/>
      <c r="G94" s="232"/>
      <c r="H94" s="23"/>
      <c r="I94" s="22"/>
    </row>
    <row r="95" spans="1:14" s="8" customFormat="1" ht="33" customHeight="1" x14ac:dyDescent="0.4">
      <c r="A95" s="19" t="s">
        <v>70</v>
      </c>
      <c r="B95" s="14"/>
      <c r="C95" s="22"/>
      <c r="D95" s="14"/>
      <c r="E95" s="195"/>
      <c r="F95" s="14"/>
      <c r="G95" s="22"/>
      <c r="H95" s="23"/>
      <c r="I95" s="22"/>
    </row>
    <row r="96" spans="1:14" s="8" customFormat="1" ht="33" customHeight="1" x14ac:dyDescent="0.4">
      <c r="A96" s="14" t="s">
        <v>427</v>
      </c>
      <c r="B96" s="14">
        <v>20</v>
      </c>
      <c r="C96" s="22" t="s">
        <v>290</v>
      </c>
      <c r="D96" s="14"/>
      <c r="E96" s="196">
        <v>20</v>
      </c>
      <c r="F96" s="14"/>
      <c r="G96" s="22"/>
      <c r="H96" s="23"/>
      <c r="I96" s="22"/>
    </row>
    <row r="97" spans="1:9" s="8" customFormat="1" ht="33" customHeight="1" x14ac:dyDescent="0.4">
      <c r="A97" s="19" t="s">
        <v>57</v>
      </c>
      <c r="B97" s="14"/>
      <c r="C97" s="22"/>
      <c r="D97" s="14"/>
      <c r="E97" s="195"/>
      <c r="F97" s="14"/>
      <c r="G97" s="22"/>
      <c r="H97" s="23"/>
      <c r="I97" s="22"/>
    </row>
    <row r="98" spans="1:9" s="8" customFormat="1" ht="33" customHeight="1" x14ac:dyDescent="0.4">
      <c r="A98" s="19" t="s">
        <v>59</v>
      </c>
      <c r="B98" s="14"/>
      <c r="C98" s="22"/>
      <c r="D98" s="14"/>
      <c r="E98" s="195"/>
      <c r="F98" s="14"/>
      <c r="G98" s="22"/>
      <c r="H98" s="23"/>
      <c r="I98" s="22"/>
    </row>
    <row r="99" spans="1:9" s="8" customFormat="1" ht="33" customHeight="1" x14ac:dyDescent="0.4">
      <c r="A99" s="19" t="s">
        <v>428</v>
      </c>
      <c r="B99" s="14">
        <v>1</v>
      </c>
      <c r="C99" s="22" t="s">
        <v>66</v>
      </c>
      <c r="D99" s="14" t="s">
        <v>429</v>
      </c>
      <c r="E99" s="195">
        <v>1</v>
      </c>
      <c r="F99" s="14"/>
      <c r="G99" s="22"/>
      <c r="H99" s="23"/>
      <c r="I99" s="22"/>
    </row>
    <row r="100" spans="1:9" s="8" customFormat="1" ht="33" customHeight="1" x14ac:dyDescent="0.4">
      <c r="A100" s="19" t="s">
        <v>255</v>
      </c>
      <c r="B100" s="14">
        <v>4</v>
      </c>
      <c r="C100" s="22" t="s">
        <v>64</v>
      </c>
      <c r="D100" s="14" t="s">
        <v>392</v>
      </c>
      <c r="E100" s="195">
        <v>3.5</v>
      </c>
      <c r="F100" s="14"/>
      <c r="G100" s="22"/>
      <c r="H100" s="23"/>
      <c r="I100" s="22"/>
    </row>
    <row r="101" spans="1:9" s="8" customFormat="1" ht="33" customHeight="1" x14ac:dyDescent="0.4">
      <c r="A101" s="19" t="s">
        <v>60</v>
      </c>
      <c r="B101" s="14"/>
      <c r="C101" s="22"/>
      <c r="D101" s="14"/>
      <c r="E101" s="195"/>
      <c r="F101" s="14"/>
      <c r="G101" s="22"/>
      <c r="H101" s="23"/>
      <c r="I101" s="22"/>
    </row>
    <row r="102" spans="1:9" s="8" customFormat="1" ht="33" customHeight="1" x14ac:dyDescent="0.4">
      <c r="A102" s="19" t="s">
        <v>61</v>
      </c>
      <c r="B102" s="14">
        <v>520</v>
      </c>
      <c r="C102" s="22" t="s">
        <v>62</v>
      </c>
      <c r="D102" s="14" t="s">
        <v>426</v>
      </c>
      <c r="E102" s="195">
        <v>520</v>
      </c>
      <c r="F102" s="14"/>
      <c r="G102" s="22"/>
      <c r="H102" s="23"/>
      <c r="I102" s="22"/>
    </row>
    <row r="103" spans="1:9" s="8" customFormat="1" ht="33" customHeight="1" x14ac:dyDescent="0.4">
      <c r="A103" s="19" t="s">
        <v>374</v>
      </c>
      <c r="B103" s="14"/>
      <c r="C103" s="22"/>
      <c r="D103" s="14"/>
      <c r="E103" s="195"/>
      <c r="F103" s="14"/>
      <c r="G103" s="22"/>
      <c r="H103" s="23"/>
      <c r="I103" s="22"/>
    </row>
    <row r="104" spans="1:9" s="8" customFormat="1" ht="33" customHeight="1" x14ac:dyDescent="0.4">
      <c r="A104" s="19" t="s">
        <v>375</v>
      </c>
      <c r="B104" s="14"/>
      <c r="C104" s="22"/>
      <c r="D104" s="14"/>
      <c r="E104" s="195"/>
      <c r="F104" s="14"/>
      <c r="G104" s="22"/>
      <c r="H104" s="23"/>
      <c r="I104" s="22"/>
    </row>
    <row r="105" spans="1:9" s="8" customFormat="1" ht="33" customHeight="1" x14ac:dyDescent="0.4">
      <c r="A105" s="14" t="s">
        <v>372</v>
      </c>
      <c r="B105" s="31">
        <v>20</v>
      </c>
      <c r="C105" s="32" t="s">
        <v>63</v>
      </c>
      <c r="D105" s="207" t="s">
        <v>430</v>
      </c>
      <c r="E105" s="192">
        <v>19.600000000000001</v>
      </c>
      <c r="F105" s="14"/>
      <c r="G105" s="22"/>
      <c r="H105" s="23"/>
      <c r="I105" s="22"/>
    </row>
    <row r="106" spans="1:9" s="8" customFormat="1" ht="33" customHeight="1" x14ac:dyDescent="0.4">
      <c r="A106" s="14" t="s">
        <v>373</v>
      </c>
      <c r="B106" s="31">
        <v>280</v>
      </c>
      <c r="C106" s="32" t="s">
        <v>62</v>
      </c>
      <c r="D106" s="207" t="s">
        <v>392</v>
      </c>
      <c r="E106" s="192">
        <v>280</v>
      </c>
      <c r="F106" s="14"/>
      <c r="G106" s="22"/>
      <c r="H106" s="23"/>
      <c r="I106" s="22"/>
    </row>
    <row r="107" spans="1:9" s="8" customFormat="1" ht="33" customHeight="1" x14ac:dyDescent="0.4">
      <c r="A107" s="19" t="s">
        <v>376</v>
      </c>
      <c r="B107" s="31"/>
      <c r="C107" s="32"/>
      <c r="D107" s="31"/>
      <c r="E107" s="192"/>
      <c r="F107" s="14"/>
      <c r="G107" s="22"/>
      <c r="H107" s="23"/>
      <c r="I107" s="22"/>
    </row>
    <row r="108" spans="1:9" s="8" customFormat="1" ht="33" customHeight="1" x14ac:dyDescent="0.4">
      <c r="A108" s="14" t="s">
        <v>377</v>
      </c>
      <c r="B108" s="31">
        <v>5</v>
      </c>
      <c r="C108" s="32" t="s">
        <v>6</v>
      </c>
      <c r="D108" s="207" t="s">
        <v>431</v>
      </c>
      <c r="E108" s="192">
        <v>4.5</v>
      </c>
      <c r="F108" s="14"/>
      <c r="G108" s="22"/>
      <c r="H108" s="23"/>
      <c r="I108" s="22"/>
    </row>
    <row r="109" spans="1:9" s="8" customFormat="1" ht="33" customHeight="1" x14ac:dyDescent="0.4">
      <c r="A109" s="14" t="s">
        <v>378</v>
      </c>
      <c r="B109" s="31">
        <v>30</v>
      </c>
      <c r="C109" s="32" t="s">
        <v>1</v>
      </c>
      <c r="D109" s="207" t="s">
        <v>392</v>
      </c>
      <c r="E109" s="192">
        <v>30</v>
      </c>
      <c r="F109" s="14"/>
      <c r="G109" s="22"/>
      <c r="H109" s="23"/>
      <c r="I109" s="22"/>
    </row>
    <row r="110" spans="1:9" s="8" customFormat="1" ht="33" hidden="1" customHeight="1" x14ac:dyDescent="0.4">
      <c r="A110" s="14" t="s">
        <v>39</v>
      </c>
      <c r="B110" s="14"/>
      <c r="C110" s="22"/>
      <c r="D110" s="14"/>
      <c r="E110" s="195"/>
      <c r="F110" s="14"/>
      <c r="G110" s="22"/>
      <c r="H110" s="23"/>
      <c r="I110" s="23"/>
    </row>
    <row r="111" spans="1:9" s="8" customFormat="1" ht="33" hidden="1" customHeight="1" x14ac:dyDescent="0.4">
      <c r="A111" s="227" t="s">
        <v>36</v>
      </c>
      <c r="B111" s="229">
        <f>ROUND(E111+E112,0)</f>
        <v>2</v>
      </c>
      <c r="C111" s="231" t="s">
        <v>40</v>
      </c>
      <c r="D111" s="43" t="s">
        <v>45</v>
      </c>
      <c r="E111" s="194">
        <v>1.79</v>
      </c>
      <c r="F111" s="229"/>
      <c r="G111" s="231"/>
      <c r="H111" s="33"/>
      <c r="I111" s="33"/>
    </row>
    <row r="112" spans="1:9" s="8" customFormat="1" ht="51.75" hidden="1" customHeight="1" x14ac:dyDescent="0.4">
      <c r="A112" s="228"/>
      <c r="B112" s="230"/>
      <c r="C112" s="232"/>
      <c r="D112" s="45"/>
      <c r="E112" s="198"/>
      <c r="F112" s="230"/>
      <c r="G112" s="232"/>
      <c r="H112" s="36"/>
      <c r="I112" s="34"/>
    </row>
    <row r="113" spans="1:13" s="8" customFormat="1" ht="33" hidden="1" customHeight="1" x14ac:dyDescent="0.4">
      <c r="A113" s="14" t="s">
        <v>37</v>
      </c>
      <c r="B113" s="28">
        <f>ROUND(E113,0)</f>
        <v>2</v>
      </c>
      <c r="C113" s="22" t="s">
        <v>40</v>
      </c>
      <c r="D113" s="14"/>
      <c r="E113" s="195">
        <f>E111+E112</f>
        <v>1.79</v>
      </c>
      <c r="F113" s="28"/>
      <c r="G113" s="22"/>
      <c r="H113" s="23"/>
      <c r="I113" s="23"/>
    </row>
    <row r="114" spans="1:13" s="8" customFormat="1" ht="33" hidden="1" customHeight="1" x14ac:dyDescent="0.4">
      <c r="A114" s="14" t="s">
        <v>38</v>
      </c>
      <c r="B114" s="28">
        <f>ROUND(E114,0)</f>
        <v>4</v>
      </c>
      <c r="C114" s="22" t="s">
        <v>41</v>
      </c>
      <c r="D114" s="14" t="s">
        <v>44</v>
      </c>
      <c r="E114" s="195">
        <f>ROUND(E113*2.5,2)</f>
        <v>4.4800000000000004</v>
      </c>
      <c r="F114" s="28"/>
      <c r="G114" s="22"/>
      <c r="H114" s="23"/>
      <c r="I114" s="23"/>
    </row>
    <row r="115" spans="1:13" s="8" customFormat="1" ht="35.25" customHeight="1" x14ac:dyDescent="0.4">
      <c r="A115" s="143"/>
      <c r="B115" s="143"/>
      <c r="C115" s="143"/>
      <c r="D115" s="143"/>
      <c r="E115" s="199"/>
      <c r="F115" s="143"/>
      <c r="G115" s="143"/>
      <c r="H115" s="143"/>
      <c r="I115" s="143"/>
    </row>
    <row r="116" spans="1:13" s="8" customFormat="1" ht="33" customHeight="1" x14ac:dyDescent="0.4">
      <c r="A116" s="143"/>
      <c r="B116" s="143"/>
      <c r="C116" s="143"/>
      <c r="D116" s="143"/>
      <c r="E116" s="199"/>
      <c r="F116" s="143"/>
      <c r="G116" s="143"/>
      <c r="H116" s="143"/>
      <c r="I116" s="143"/>
      <c r="M116" s="57"/>
    </row>
    <row r="117" spans="1:13" s="8" customFormat="1" ht="33" customHeight="1" x14ac:dyDescent="0.4">
      <c r="A117" s="143"/>
      <c r="B117" s="143"/>
      <c r="C117" s="143"/>
      <c r="D117" s="143"/>
      <c r="E117" s="199"/>
      <c r="F117" s="143"/>
      <c r="G117" s="143"/>
      <c r="H117" s="143"/>
      <c r="I117" s="143"/>
    </row>
    <row r="118" spans="1:13" s="8" customFormat="1" ht="33" customHeight="1" x14ac:dyDescent="0.4">
      <c r="A118" s="143"/>
      <c r="B118" s="143"/>
      <c r="C118" s="143"/>
      <c r="D118" s="143"/>
      <c r="E118" s="200"/>
      <c r="F118" s="143"/>
      <c r="G118" s="143"/>
      <c r="H118" s="143"/>
      <c r="I118" s="143"/>
    </row>
    <row r="119" spans="1:13" s="8" customFormat="1" ht="33" customHeight="1" x14ac:dyDescent="0.4">
      <c r="A119" s="143"/>
      <c r="B119" s="143"/>
      <c r="C119" s="143"/>
      <c r="D119" s="143"/>
      <c r="E119" s="200"/>
      <c r="F119" s="143"/>
      <c r="G119" s="143"/>
      <c r="H119" s="143"/>
      <c r="I119" s="143"/>
    </row>
    <row r="120" spans="1:13" s="8" customFormat="1" ht="33" customHeight="1" x14ac:dyDescent="0.4">
      <c r="A120" s="143"/>
      <c r="B120" s="143"/>
      <c r="C120" s="143"/>
      <c r="D120" s="143"/>
      <c r="E120" s="200"/>
      <c r="F120" s="143"/>
      <c r="G120" s="143"/>
      <c r="H120" s="143"/>
      <c r="I120" s="143"/>
    </row>
    <row r="121" spans="1:13" s="8" customFormat="1" ht="33" customHeight="1" x14ac:dyDescent="0.4">
      <c r="A121" s="9" t="s">
        <v>13</v>
      </c>
      <c r="B121" s="21"/>
      <c r="C121" s="21"/>
      <c r="D121" s="11"/>
      <c r="E121" s="201"/>
      <c r="F121" s="143"/>
      <c r="G121" s="143"/>
      <c r="H121" s="143"/>
      <c r="I121" s="143"/>
    </row>
    <row r="122" spans="1:13" s="8" customFormat="1" ht="54" customHeight="1" x14ac:dyDescent="0.4">
      <c r="A122" s="10" t="s">
        <v>15</v>
      </c>
      <c r="B122" s="22"/>
      <c r="C122" s="22"/>
      <c r="D122" s="10" t="s">
        <v>21</v>
      </c>
      <c r="E122" s="202"/>
      <c r="F122" s="143"/>
      <c r="G122" s="143"/>
      <c r="H122" s="143"/>
      <c r="I122" s="143"/>
    </row>
    <row r="123" spans="1:13" s="8" customFormat="1" ht="50.25" customHeight="1" x14ac:dyDescent="0.4">
      <c r="A123" s="10" t="s">
        <v>16</v>
      </c>
      <c r="B123" s="22"/>
      <c r="C123" s="22"/>
      <c r="D123" s="10" t="s">
        <v>22</v>
      </c>
      <c r="E123" s="202"/>
      <c r="F123" s="143"/>
      <c r="G123" s="143"/>
      <c r="H123" s="143"/>
      <c r="I123" s="143"/>
    </row>
    <row r="124" spans="1:13" s="8" customFormat="1" ht="33" customHeight="1" x14ac:dyDescent="0.4">
      <c r="A124" s="10" t="s">
        <v>24</v>
      </c>
      <c r="B124" s="22"/>
      <c r="C124" s="22"/>
      <c r="D124" s="10" t="s">
        <v>23</v>
      </c>
      <c r="E124" s="202"/>
      <c r="F124" s="143"/>
      <c r="G124" s="143"/>
      <c r="H124" s="143"/>
      <c r="I124" s="143"/>
    </row>
    <row r="125" spans="1:13" s="8" customFormat="1" ht="33" customHeight="1" x14ac:dyDescent="0.4">
      <c r="A125" s="10" t="s">
        <v>25</v>
      </c>
      <c r="B125" s="22"/>
      <c r="C125" s="22"/>
      <c r="D125" s="10" t="s">
        <v>28</v>
      </c>
      <c r="E125" s="202"/>
      <c r="F125" s="143"/>
      <c r="G125" s="143"/>
      <c r="H125" s="143"/>
      <c r="I125" s="143"/>
    </row>
    <row r="126" spans="1:13" s="8" customFormat="1" ht="33" customHeight="1" x14ac:dyDescent="0.4">
      <c r="A126" s="10" t="s">
        <v>26</v>
      </c>
      <c r="B126" s="22"/>
      <c r="C126" s="22"/>
      <c r="D126" s="10" t="s">
        <v>23</v>
      </c>
      <c r="E126" s="202"/>
      <c r="F126" s="143"/>
      <c r="G126" s="143"/>
      <c r="H126" s="143"/>
      <c r="I126" s="143"/>
    </row>
    <row r="127" spans="1:13" s="8" customFormat="1" ht="33" customHeight="1" x14ac:dyDescent="0.4">
      <c r="A127" s="10" t="s">
        <v>27</v>
      </c>
      <c r="B127" s="22"/>
      <c r="C127" s="22"/>
      <c r="D127" s="10" t="s">
        <v>23</v>
      </c>
      <c r="E127" s="202"/>
      <c r="F127" s="143"/>
      <c r="G127" s="143"/>
      <c r="H127" s="143"/>
      <c r="I127" s="143"/>
    </row>
    <row r="128" spans="1:13" s="8" customFormat="1" ht="33" customHeight="1" x14ac:dyDescent="0.4">
      <c r="A128" s="10" t="s">
        <v>12</v>
      </c>
      <c r="B128" s="22"/>
      <c r="C128" s="22"/>
      <c r="D128" s="10" t="s">
        <v>14</v>
      </c>
      <c r="E128" s="202"/>
      <c r="F128" s="143"/>
      <c r="G128" s="143"/>
      <c r="H128" s="143"/>
      <c r="I128" s="143"/>
    </row>
    <row r="129" spans="1:9" s="8" customFormat="1" ht="33" customHeight="1" x14ac:dyDescent="0.4">
      <c r="A129" s="9" t="s">
        <v>17</v>
      </c>
      <c r="B129" s="21"/>
      <c r="C129" s="21"/>
      <c r="D129" s="11"/>
      <c r="E129" s="201"/>
      <c r="F129" s="143"/>
      <c r="G129" s="143"/>
      <c r="H129" s="143"/>
      <c r="I129" s="143"/>
    </row>
    <row r="130" spans="1:9" s="8" customFormat="1" ht="33" customHeight="1" x14ac:dyDescent="0.4">
      <c r="A130" s="10" t="s">
        <v>19</v>
      </c>
      <c r="B130" s="22"/>
      <c r="C130" s="22"/>
      <c r="D130" s="10" t="s">
        <v>29</v>
      </c>
      <c r="E130" s="202"/>
      <c r="F130" s="143"/>
      <c r="G130" s="143"/>
      <c r="H130" s="143"/>
      <c r="I130" s="143"/>
    </row>
    <row r="131" spans="1:9" s="8" customFormat="1" ht="33" customHeight="1" x14ac:dyDescent="0.4">
      <c r="A131" s="14" t="s">
        <v>18</v>
      </c>
      <c r="B131" s="22"/>
      <c r="C131" s="22"/>
      <c r="D131" s="10" t="s">
        <v>30</v>
      </c>
      <c r="E131" s="202"/>
      <c r="F131" s="143"/>
      <c r="G131" s="143"/>
      <c r="H131" s="143"/>
      <c r="I131" s="143"/>
    </row>
    <row r="132" spans="1:9" s="8" customFormat="1" ht="33" customHeight="1" x14ac:dyDescent="0.4">
      <c r="A132" s="14" t="s">
        <v>20</v>
      </c>
      <c r="B132" s="22"/>
      <c r="C132" s="22"/>
      <c r="D132" s="10" t="s">
        <v>30</v>
      </c>
      <c r="E132" s="202"/>
      <c r="F132" s="143"/>
      <c r="G132" s="143"/>
      <c r="H132" s="143"/>
      <c r="I132" s="143"/>
    </row>
    <row r="133" spans="1:9" s="8" customFormat="1" ht="33" customHeight="1" x14ac:dyDescent="0.4">
      <c r="A133" s="19" t="s">
        <v>8</v>
      </c>
      <c r="B133" s="23"/>
      <c r="C133" s="23"/>
      <c r="D133" s="15"/>
      <c r="E133" s="203"/>
      <c r="F133" s="143"/>
      <c r="G133" s="143"/>
      <c r="H133" s="143"/>
      <c r="I133" s="143"/>
    </row>
    <row r="134" spans="1:9" s="8" customFormat="1" ht="33" customHeight="1" x14ac:dyDescent="0.4">
      <c r="A134" s="9" t="s">
        <v>9</v>
      </c>
      <c r="B134" s="24"/>
      <c r="C134" s="24"/>
      <c r="D134" s="12"/>
      <c r="E134" s="204"/>
      <c r="F134" s="143"/>
      <c r="G134" s="143"/>
      <c r="H134" s="143"/>
      <c r="I134" s="143"/>
    </row>
    <row r="135" spans="1:9" s="8" customFormat="1" ht="33" customHeight="1" x14ac:dyDescent="0.4">
      <c r="A135" s="10" t="s">
        <v>10</v>
      </c>
      <c r="B135" s="22"/>
      <c r="C135" s="22"/>
      <c r="D135" s="10" t="s">
        <v>31</v>
      </c>
      <c r="E135" s="202"/>
      <c r="F135" s="143"/>
      <c r="G135" s="143"/>
      <c r="H135" s="143"/>
      <c r="I135" s="143"/>
    </row>
    <row r="136" spans="1:9" s="8" customFormat="1" ht="33" customHeight="1" x14ac:dyDescent="0.4">
      <c r="A136" s="10" t="s">
        <v>11</v>
      </c>
      <c r="B136" s="22"/>
      <c r="C136" s="22"/>
      <c r="D136" s="10" t="s">
        <v>32</v>
      </c>
      <c r="E136" s="202"/>
      <c r="F136" s="143"/>
      <c r="G136" s="143"/>
      <c r="H136" s="143"/>
      <c r="I136" s="143"/>
    </row>
    <row r="137" spans="1:9" ht="28.5" customHeight="1" x14ac:dyDescent="0.4">
      <c r="A137" s="223"/>
      <c r="B137" s="223"/>
      <c r="C137" s="223"/>
      <c r="D137" s="223"/>
      <c r="E137" s="223"/>
    </row>
    <row r="138" spans="1:9" ht="28.5" customHeight="1" x14ac:dyDescent="0.4">
      <c r="A138" s="224"/>
      <c r="B138" s="224"/>
      <c r="C138" s="224"/>
      <c r="D138" s="224"/>
      <c r="E138" s="224"/>
    </row>
    <row r="139" spans="1:9" ht="28.5" customHeight="1" x14ac:dyDescent="0.4">
      <c r="A139" s="13"/>
      <c r="D139" s="13"/>
      <c r="E139" s="205"/>
    </row>
    <row r="140" spans="1:9" ht="28.5" customHeight="1" x14ac:dyDescent="0.4">
      <c r="A140" s="13"/>
      <c r="D140" s="13"/>
      <c r="E140" s="205"/>
    </row>
    <row r="141" spans="1:9" ht="28.5" customHeight="1" x14ac:dyDescent="0.4">
      <c r="A141" s="13"/>
      <c r="D141" s="13"/>
      <c r="E141" s="205"/>
    </row>
    <row r="142" spans="1:9" ht="28.5" customHeight="1" x14ac:dyDescent="0.4">
      <c r="A142" s="13"/>
      <c r="D142" s="13"/>
      <c r="E142" s="205"/>
    </row>
    <row r="143" spans="1:9" ht="28.5" customHeight="1" x14ac:dyDescent="0.4">
      <c r="A143" s="13"/>
      <c r="D143" s="13"/>
      <c r="E143" s="205"/>
    </row>
    <row r="144" spans="1:9" ht="28.5" customHeight="1" x14ac:dyDescent="0.4">
      <c r="A144" s="13"/>
      <c r="D144" s="13"/>
      <c r="E144" s="205"/>
    </row>
    <row r="145" spans="1:5" ht="28.5" customHeight="1" x14ac:dyDescent="0.4">
      <c r="A145" s="13"/>
      <c r="D145" s="13"/>
      <c r="E145" s="205"/>
    </row>
    <row r="146" spans="1:5" ht="28.5" customHeight="1" x14ac:dyDescent="0.4">
      <c r="A146" s="13"/>
      <c r="D146" s="13"/>
      <c r="E146" s="205"/>
    </row>
    <row r="147" spans="1:5" ht="28.5" customHeight="1" x14ac:dyDescent="0.4">
      <c r="A147" s="13"/>
      <c r="D147" s="13"/>
      <c r="E147" s="205"/>
    </row>
    <row r="148" spans="1:5" ht="28.5" customHeight="1" x14ac:dyDescent="0.4">
      <c r="A148" s="13"/>
      <c r="D148" s="13"/>
      <c r="E148" s="205"/>
    </row>
    <row r="149" spans="1:5" ht="28.5" customHeight="1" x14ac:dyDescent="0.4">
      <c r="A149" s="13"/>
      <c r="D149" s="13"/>
      <c r="E149" s="205"/>
    </row>
    <row r="150" spans="1:5" ht="28.5" customHeight="1" x14ac:dyDescent="0.4">
      <c r="A150" s="13"/>
      <c r="D150" s="13"/>
      <c r="E150" s="205"/>
    </row>
    <row r="151" spans="1:5" ht="28.5" customHeight="1" x14ac:dyDescent="0.4">
      <c r="A151" s="13"/>
      <c r="D151" s="13"/>
      <c r="E151" s="205"/>
    </row>
    <row r="152" spans="1:5" ht="28.5" customHeight="1" x14ac:dyDescent="0.4">
      <c r="A152" s="13"/>
      <c r="D152" s="13"/>
      <c r="E152" s="205"/>
    </row>
    <row r="153" spans="1:5" ht="28.5" customHeight="1" x14ac:dyDescent="0.4">
      <c r="A153" s="13"/>
      <c r="D153" s="13"/>
      <c r="E153" s="205"/>
    </row>
    <row r="154" spans="1:5" ht="28.5" customHeight="1" x14ac:dyDescent="0.4">
      <c r="A154" s="13"/>
      <c r="D154" s="13"/>
      <c r="E154" s="205"/>
    </row>
    <row r="155" spans="1:5" ht="28.5" customHeight="1" x14ac:dyDescent="0.4">
      <c r="A155" s="13"/>
      <c r="D155" s="13"/>
      <c r="E155" s="205"/>
    </row>
    <row r="156" spans="1:5" ht="28.5" customHeight="1" x14ac:dyDescent="0.4">
      <c r="A156" s="13"/>
      <c r="D156" s="13"/>
      <c r="E156" s="205"/>
    </row>
    <row r="157" spans="1:5" ht="28.5" customHeight="1" x14ac:dyDescent="0.4">
      <c r="A157" s="13"/>
      <c r="D157" s="13"/>
      <c r="E157" s="205"/>
    </row>
    <row r="158" spans="1:5" ht="28.5" customHeight="1" x14ac:dyDescent="0.4">
      <c r="A158" s="13"/>
      <c r="D158" s="13"/>
      <c r="E158" s="205"/>
    </row>
    <row r="159" spans="1:5" ht="28.5" customHeight="1" x14ac:dyDescent="0.4">
      <c r="A159" s="13"/>
      <c r="D159" s="13"/>
      <c r="E159" s="205"/>
    </row>
    <row r="160" spans="1:5" ht="28.5" customHeight="1" x14ac:dyDescent="0.4">
      <c r="A160" s="13"/>
      <c r="D160" s="13"/>
      <c r="E160" s="205"/>
    </row>
    <row r="161" spans="1:5" ht="28.5" customHeight="1" x14ac:dyDescent="0.4">
      <c r="A161" s="13"/>
      <c r="D161" s="13"/>
      <c r="E161" s="205"/>
    </row>
    <row r="162" spans="1:5" ht="28.5" customHeight="1" x14ac:dyDescent="0.4">
      <c r="A162" s="13"/>
      <c r="D162" s="13"/>
      <c r="E162" s="205"/>
    </row>
    <row r="163" spans="1:5" ht="28.5" customHeight="1" x14ac:dyDescent="0.4">
      <c r="A163" s="13"/>
      <c r="D163" s="13"/>
      <c r="E163" s="205"/>
    </row>
    <row r="164" spans="1:5" ht="28.5" customHeight="1" x14ac:dyDescent="0.4">
      <c r="A164" s="13"/>
      <c r="D164" s="13"/>
      <c r="E164" s="205"/>
    </row>
  </sheetData>
  <mergeCells count="18">
    <mergeCell ref="A2:I3"/>
    <mergeCell ref="F111:F112"/>
    <mergeCell ref="G111:G112"/>
    <mergeCell ref="B4:E4"/>
    <mergeCell ref="F4:I4"/>
    <mergeCell ref="F5:G5"/>
    <mergeCell ref="F90:F94"/>
    <mergeCell ref="G90:G94"/>
    <mergeCell ref="A137:E138"/>
    <mergeCell ref="B5:C5"/>
    <mergeCell ref="A111:A112"/>
    <mergeCell ref="B111:B112"/>
    <mergeCell ref="C111:C112"/>
    <mergeCell ref="A90:A94"/>
    <mergeCell ref="B90:B94"/>
    <mergeCell ref="C90:C94"/>
    <mergeCell ref="A4:A5"/>
    <mergeCell ref="D5:E5"/>
  </mergeCells>
  <phoneticPr fontId="1"/>
  <printOptions horizontalCentered="1"/>
  <pageMargins left="0.78740157480314965" right="0.78740157480314965" top="0.19685039370078741" bottom="0.19685039370078741" header="0.51181102362204722" footer="0.19685039370078741"/>
  <pageSetup paperSize="9" scale="53" fitToHeight="0" orientation="portrait" verticalDpi="300" r:id="rId1"/>
  <headerFooter alignWithMargins="0"/>
  <rowBreaks count="2" manualBreakCount="2">
    <brk id="42" max="8" man="1"/>
    <brk id="7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23"/>
  <sheetViews>
    <sheetView zoomScale="85" zoomScaleNormal="85" workbookViewId="0">
      <selection activeCell="J7" sqref="I7:J7"/>
    </sheetView>
  </sheetViews>
  <sheetFormatPr defaultRowHeight="18.75" x14ac:dyDescent="0.4"/>
  <cols>
    <col min="1" max="1" width="4.5" customWidth="1"/>
    <col min="2" max="2" width="7.875" customWidth="1"/>
    <col min="4" max="5" width="11.625" customWidth="1"/>
    <col min="6" max="6" width="14.25" customWidth="1"/>
    <col min="7" max="7" width="12.125" customWidth="1"/>
    <col min="8" max="8" width="15.625" customWidth="1"/>
    <col min="9" max="9" width="17.75" customWidth="1"/>
    <col min="11" max="11" width="12" customWidth="1"/>
    <col min="12" max="12" width="9.5" customWidth="1"/>
    <col min="13" max="13" width="12.375" customWidth="1"/>
    <col min="14" max="14" width="11" customWidth="1"/>
    <col min="15" max="15" width="16.25" customWidth="1"/>
    <col min="16" max="17" width="11" customWidth="1"/>
    <col min="18" max="18" width="20.125" customWidth="1"/>
    <col min="19" max="19" width="14" customWidth="1"/>
    <col min="20" max="20" width="10.75" customWidth="1"/>
    <col min="21" max="21" width="18.25" customWidth="1"/>
  </cols>
  <sheetData>
    <row r="1" spans="2:25" s="165" customFormat="1" ht="24" x14ac:dyDescent="0.4">
      <c r="B1" s="252" t="s">
        <v>314</v>
      </c>
      <c r="C1" s="252"/>
    </row>
    <row r="2" spans="2:25" x14ac:dyDescent="0.4">
      <c r="B2" s="253"/>
      <c r="C2" s="254" t="s">
        <v>319</v>
      </c>
      <c r="D2" s="255" t="s">
        <v>318</v>
      </c>
      <c r="E2" s="255"/>
      <c r="F2" s="255" t="s">
        <v>343</v>
      </c>
      <c r="G2" s="255"/>
    </row>
    <row r="3" spans="2:25" x14ac:dyDescent="0.4">
      <c r="B3" s="253"/>
      <c r="C3" s="254"/>
      <c r="D3" s="113" t="s">
        <v>320</v>
      </c>
      <c r="E3" s="114" t="s">
        <v>321</v>
      </c>
      <c r="F3" s="113" t="s">
        <v>320</v>
      </c>
      <c r="G3" s="114" t="s">
        <v>321</v>
      </c>
    </row>
    <row r="4" spans="2:25" ht="18.75" customHeight="1" x14ac:dyDescent="0.4">
      <c r="B4" s="113" t="s">
        <v>315</v>
      </c>
      <c r="C4" s="114">
        <v>450</v>
      </c>
      <c r="D4" s="113">
        <v>0.3</v>
      </c>
      <c r="E4" s="114">
        <f>ROUND(C4*D4,0)</f>
        <v>135</v>
      </c>
      <c r="F4" s="113"/>
      <c r="G4" s="114">
        <f>ROUND(C4*F4,0)</f>
        <v>0</v>
      </c>
    </row>
    <row r="5" spans="2:25" x14ac:dyDescent="0.4">
      <c r="B5" s="113" t="s">
        <v>316</v>
      </c>
      <c r="C5" s="114">
        <v>900</v>
      </c>
      <c r="D5" s="113"/>
      <c r="E5" s="114">
        <f t="shared" ref="E5:E13" si="0">ROUND(C5*D5,0)</f>
        <v>0</v>
      </c>
      <c r="F5" s="113">
        <v>0.3</v>
      </c>
      <c r="G5" s="114">
        <f t="shared" ref="G5:G13" si="1">ROUND(C5*F5,0)</f>
        <v>270</v>
      </c>
    </row>
    <row r="6" spans="2:25" ht="20.25" customHeight="1" x14ac:dyDescent="0.4">
      <c r="B6" s="113" t="s">
        <v>317</v>
      </c>
      <c r="C6" s="114">
        <v>80</v>
      </c>
      <c r="D6" s="113"/>
      <c r="E6" s="114">
        <f t="shared" si="0"/>
        <v>0</v>
      </c>
      <c r="F6" s="113"/>
      <c r="G6" s="114">
        <f t="shared" si="1"/>
        <v>0</v>
      </c>
    </row>
    <row r="7" spans="2:25" ht="18.75" customHeight="1" x14ac:dyDescent="0.4">
      <c r="B7" s="113" t="s">
        <v>322</v>
      </c>
      <c r="C7" s="114">
        <v>1260</v>
      </c>
      <c r="D7" s="113">
        <v>0.6</v>
      </c>
      <c r="E7" s="114">
        <f t="shared" si="0"/>
        <v>756</v>
      </c>
      <c r="F7" s="3"/>
      <c r="G7" s="114">
        <f t="shared" si="1"/>
        <v>0</v>
      </c>
    </row>
    <row r="8" spans="2:25" ht="18" customHeight="1" x14ac:dyDescent="0.4">
      <c r="B8" s="113" t="s">
        <v>323</v>
      </c>
      <c r="C8" s="114">
        <v>180</v>
      </c>
      <c r="D8" s="113"/>
      <c r="E8" s="114">
        <f t="shared" si="0"/>
        <v>0</v>
      </c>
      <c r="F8" s="3"/>
      <c r="G8" s="114">
        <f t="shared" si="1"/>
        <v>0</v>
      </c>
    </row>
    <row r="9" spans="2:25" x14ac:dyDescent="0.4">
      <c r="B9" s="113" t="s">
        <v>324</v>
      </c>
      <c r="C9" s="114">
        <v>470</v>
      </c>
      <c r="D9" s="113">
        <v>0.3</v>
      </c>
      <c r="E9" s="114">
        <f t="shared" si="0"/>
        <v>141</v>
      </c>
      <c r="F9" s="3"/>
      <c r="G9" s="114">
        <f t="shared" si="1"/>
        <v>0</v>
      </c>
    </row>
    <row r="10" spans="2:25" x14ac:dyDescent="0.4">
      <c r="B10" s="113" t="s">
        <v>325</v>
      </c>
      <c r="C10" s="114">
        <v>150</v>
      </c>
      <c r="D10" s="113"/>
      <c r="E10" s="114">
        <f t="shared" si="0"/>
        <v>0</v>
      </c>
      <c r="F10" s="3"/>
      <c r="G10" s="114">
        <f t="shared" si="1"/>
        <v>0</v>
      </c>
    </row>
    <row r="11" spans="2:25" x14ac:dyDescent="0.4">
      <c r="B11" s="113" t="s">
        <v>326</v>
      </c>
      <c r="C11" s="114">
        <v>22</v>
      </c>
      <c r="D11" s="113"/>
      <c r="E11" s="114">
        <f t="shared" si="0"/>
        <v>0</v>
      </c>
      <c r="F11" s="3"/>
      <c r="G11" s="114">
        <f t="shared" si="1"/>
        <v>0</v>
      </c>
    </row>
    <row r="12" spans="2:25" x14ac:dyDescent="0.4">
      <c r="B12" s="113" t="s">
        <v>327</v>
      </c>
      <c r="D12" s="46"/>
      <c r="E12" s="160"/>
      <c r="F12" s="115" t="s">
        <v>330</v>
      </c>
      <c r="G12" s="114">
        <v>990</v>
      </c>
    </row>
    <row r="13" spans="2:25" x14ac:dyDescent="0.4">
      <c r="B13" s="113" t="s">
        <v>328</v>
      </c>
      <c r="C13" s="157">
        <v>120</v>
      </c>
      <c r="D13" s="3"/>
      <c r="E13" s="114">
        <f t="shared" si="0"/>
        <v>0</v>
      </c>
      <c r="F13" s="3"/>
      <c r="G13" s="114">
        <f t="shared" si="1"/>
        <v>0</v>
      </c>
    </row>
    <row r="14" spans="2:25" x14ac:dyDescent="0.4">
      <c r="B14" s="113" t="s">
        <v>329</v>
      </c>
      <c r="C14" s="2"/>
      <c r="D14" s="3"/>
      <c r="E14" s="158">
        <f>SUM(E4:E11)+E13</f>
        <v>1032</v>
      </c>
      <c r="F14" s="3"/>
      <c r="G14" s="158">
        <f>SUM(G4:G13)</f>
        <v>1260</v>
      </c>
      <c r="Y14" s="27"/>
    </row>
    <row r="15" spans="2:25" x14ac:dyDescent="0.4">
      <c r="U15" s="4"/>
    </row>
    <row r="16" spans="2:25" ht="24" x14ac:dyDescent="0.4">
      <c r="B16" s="165" t="s">
        <v>336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S16" s="4"/>
    </row>
    <row r="17" spans="2:21" x14ac:dyDescent="0.4">
      <c r="B17" s="269" t="s">
        <v>331</v>
      </c>
      <c r="C17" s="269"/>
      <c r="D17" s="253"/>
      <c r="E17" s="253" t="s">
        <v>339</v>
      </c>
      <c r="F17" s="270"/>
      <c r="G17" s="270"/>
      <c r="H17" s="270"/>
      <c r="I17" s="254"/>
      <c r="J17" s="255" t="s">
        <v>340</v>
      </c>
      <c r="K17" s="255"/>
      <c r="L17" s="255"/>
    </row>
    <row r="18" spans="2:21" x14ac:dyDescent="0.4">
      <c r="B18" s="269"/>
      <c r="C18" s="269"/>
      <c r="D18" s="253"/>
      <c r="E18" s="256" t="s">
        <v>332</v>
      </c>
      <c r="F18" s="258" t="s">
        <v>333</v>
      </c>
      <c r="G18" s="260" t="s">
        <v>337</v>
      </c>
      <c r="H18" s="261" t="s">
        <v>382</v>
      </c>
      <c r="I18" s="162" t="s">
        <v>383</v>
      </c>
      <c r="J18" s="256" t="s">
        <v>332</v>
      </c>
      <c r="K18" s="262" t="s">
        <v>468</v>
      </c>
      <c r="L18" s="263" t="s">
        <v>338</v>
      </c>
      <c r="U18" s="4"/>
    </row>
    <row r="19" spans="2:21" ht="38.25" customHeight="1" x14ac:dyDescent="0.4">
      <c r="B19" s="269"/>
      <c r="C19" s="269"/>
      <c r="D19" s="253"/>
      <c r="E19" s="257"/>
      <c r="F19" s="259"/>
      <c r="G19" s="260"/>
      <c r="H19" s="261"/>
      <c r="I19" s="163" t="s">
        <v>384</v>
      </c>
      <c r="J19" s="257"/>
      <c r="K19" s="259"/>
      <c r="L19" s="264"/>
    </row>
    <row r="20" spans="2:21" ht="37.5" customHeight="1" x14ac:dyDescent="0.4">
      <c r="B20" s="266" t="s">
        <v>334</v>
      </c>
      <c r="C20" s="267"/>
      <c r="D20" s="268"/>
      <c r="E20" s="153">
        <v>1700</v>
      </c>
      <c r="F20" s="155">
        <v>0.6</v>
      </c>
      <c r="G20" s="214">
        <f>ROUND(E20*F20,0)</f>
        <v>1020</v>
      </c>
      <c r="H20" s="159">
        <f>G20</f>
        <v>1020</v>
      </c>
      <c r="I20" s="216">
        <f>ROUND(H20*1.2/0.9,2)</f>
        <v>1360</v>
      </c>
      <c r="J20" s="153">
        <v>1700</v>
      </c>
      <c r="K20" s="155">
        <v>0.2</v>
      </c>
      <c r="L20" s="154">
        <f>ROUND(J20*K20,0)</f>
        <v>340</v>
      </c>
    </row>
    <row r="21" spans="2:21" ht="35.25" customHeight="1" x14ac:dyDescent="0.4">
      <c r="B21" s="265" t="s">
        <v>335</v>
      </c>
      <c r="C21" s="265"/>
      <c r="D21" s="266"/>
      <c r="E21" s="164">
        <v>340</v>
      </c>
      <c r="F21" s="179">
        <v>0.3</v>
      </c>
      <c r="G21" s="214"/>
      <c r="H21" s="159"/>
      <c r="I21" s="216"/>
      <c r="J21" s="153">
        <v>340</v>
      </c>
      <c r="K21" s="155">
        <v>0.2</v>
      </c>
      <c r="L21" s="154">
        <f t="shared" ref="L21" si="2">ROUND(J21*K21,0)</f>
        <v>68</v>
      </c>
    </row>
    <row r="22" spans="2:21" ht="36.75" customHeight="1" x14ac:dyDescent="0.4">
      <c r="B22" s="266" t="s">
        <v>334</v>
      </c>
      <c r="C22" s="267"/>
      <c r="D22" s="268"/>
      <c r="E22" s="177">
        <v>680</v>
      </c>
      <c r="F22" s="178">
        <v>0.6</v>
      </c>
      <c r="G22" s="214">
        <f>ROUND(E22*F22,0)</f>
        <v>408</v>
      </c>
      <c r="H22" s="215">
        <f>G22</f>
        <v>408</v>
      </c>
      <c r="I22" s="216">
        <f>ROUND(H22*1.2/0.9,2)</f>
        <v>544</v>
      </c>
      <c r="J22" s="153">
        <v>680</v>
      </c>
      <c r="K22" s="155">
        <v>0.2</v>
      </c>
      <c r="L22" s="154">
        <f t="shared" ref="L22" si="3">ROUND(J22*K22,0)</f>
        <v>136</v>
      </c>
    </row>
    <row r="23" spans="2:21" x14ac:dyDescent="0.4">
      <c r="B23" s="269" t="s">
        <v>329</v>
      </c>
      <c r="C23" s="269"/>
      <c r="D23" s="269"/>
      <c r="E23" s="175"/>
      <c r="F23" s="217"/>
      <c r="G23" s="158">
        <f>SUM(G20:G22)</f>
        <v>1428</v>
      </c>
      <c r="H23" s="164">
        <f>SUM(H20:H22)</f>
        <v>1428</v>
      </c>
      <c r="I23" s="158">
        <f>SUM(I20:I22)</f>
        <v>1904</v>
      </c>
      <c r="J23" s="3"/>
      <c r="K23" s="47"/>
      <c r="L23" s="158">
        <f>SUM(L20:L22)</f>
        <v>544</v>
      </c>
    </row>
  </sheetData>
  <mergeCells count="19">
    <mergeCell ref="K18:K19"/>
    <mergeCell ref="L18:L19"/>
    <mergeCell ref="B21:D21"/>
    <mergeCell ref="B22:D22"/>
    <mergeCell ref="B23:D23"/>
    <mergeCell ref="B20:D20"/>
    <mergeCell ref="B17:D19"/>
    <mergeCell ref="E18:E19"/>
    <mergeCell ref="F18:F19"/>
    <mergeCell ref="G18:G19"/>
    <mergeCell ref="H18:H19"/>
    <mergeCell ref="J18:J19"/>
    <mergeCell ref="B1:C1"/>
    <mergeCell ref="B2:B3"/>
    <mergeCell ref="C2:C3"/>
    <mergeCell ref="D2:E2"/>
    <mergeCell ref="J17:L17"/>
    <mergeCell ref="F2:G2"/>
    <mergeCell ref="E17:I17"/>
  </mergeCells>
  <phoneticPr fontId="1"/>
  <pageMargins left="0.7" right="0.7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2"/>
  <sheetViews>
    <sheetView topLeftCell="A34" workbookViewId="0">
      <selection activeCell="F14" sqref="F14"/>
    </sheetView>
  </sheetViews>
  <sheetFormatPr defaultRowHeight="18.75" x14ac:dyDescent="0.4"/>
  <cols>
    <col min="1" max="1" width="3.875" customWidth="1"/>
    <col min="2" max="2" width="8.5" customWidth="1"/>
    <col min="3" max="3" width="29.875" customWidth="1"/>
    <col min="4" max="4" width="15.625" customWidth="1"/>
    <col min="5" max="5" width="15.25" customWidth="1"/>
    <col min="6" max="6" width="15" customWidth="1"/>
    <col min="7" max="7" width="5.875" customWidth="1"/>
  </cols>
  <sheetData>
    <row r="1" spans="2:6" ht="24" x14ac:dyDescent="0.4">
      <c r="B1" s="165" t="s">
        <v>135</v>
      </c>
      <c r="D1" s="4"/>
    </row>
    <row r="2" spans="2:6" ht="21.75" customHeight="1" x14ac:dyDescent="0.4">
      <c r="B2" s="118" t="s">
        <v>360</v>
      </c>
      <c r="C2" s="3"/>
      <c r="D2" s="161" t="s">
        <v>356</v>
      </c>
      <c r="E2" s="115" t="s">
        <v>350</v>
      </c>
      <c r="F2" s="114" t="s">
        <v>351</v>
      </c>
    </row>
    <row r="3" spans="2:6" ht="21.75" customHeight="1" x14ac:dyDescent="0.4">
      <c r="B3" s="271" t="s">
        <v>359</v>
      </c>
      <c r="C3" s="166" t="s">
        <v>358</v>
      </c>
      <c r="D3" s="115"/>
      <c r="E3" s="47"/>
      <c r="F3" s="2"/>
    </row>
    <row r="4" spans="2:6" ht="21.75" customHeight="1" x14ac:dyDescent="0.4">
      <c r="B4" s="272"/>
      <c r="C4" s="169" t="s">
        <v>137</v>
      </c>
      <c r="D4" s="167">
        <v>98</v>
      </c>
      <c r="E4" s="111">
        <v>0.08</v>
      </c>
      <c r="F4" s="112">
        <f>ROUND(D4*E4,2)</f>
        <v>7.84</v>
      </c>
    </row>
    <row r="5" spans="2:6" ht="21.75" customHeight="1" x14ac:dyDescent="0.4">
      <c r="B5" s="272"/>
      <c r="C5" s="3" t="s">
        <v>136</v>
      </c>
      <c r="D5" s="168">
        <f>D4</f>
        <v>98</v>
      </c>
      <c r="E5" s="115">
        <v>0.02</v>
      </c>
      <c r="F5" s="186">
        <f t="shared" ref="F5:F6" si="0">ROUND(D5*E5,2)</f>
        <v>1.96</v>
      </c>
    </row>
    <row r="6" spans="2:6" ht="21.75" customHeight="1" x14ac:dyDescent="0.4">
      <c r="B6" s="273"/>
      <c r="C6" s="3" t="s">
        <v>447</v>
      </c>
      <c r="D6" s="168">
        <v>98</v>
      </c>
      <c r="E6" s="185">
        <v>4.0000000000000001E-3</v>
      </c>
      <c r="F6" s="186">
        <f t="shared" si="0"/>
        <v>0.39</v>
      </c>
    </row>
    <row r="7" spans="2:6" ht="37.5" x14ac:dyDescent="0.4">
      <c r="B7" s="271" t="s">
        <v>359</v>
      </c>
      <c r="C7" s="166" t="s">
        <v>352</v>
      </c>
      <c r="D7" s="115"/>
      <c r="E7" s="47"/>
      <c r="F7" s="2"/>
    </row>
    <row r="8" spans="2:6" x14ac:dyDescent="0.4">
      <c r="B8" s="272"/>
      <c r="C8" s="169" t="s">
        <v>137</v>
      </c>
      <c r="D8" s="167">
        <f>★排水構造物調書!E24</f>
        <v>263.7</v>
      </c>
      <c r="E8" s="111">
        <v>1.2</v>
      </c>
      <c r="F8" s="186">
        <f t="shared" ref="F8:F9" si="1">ROUND(D8*E8,2)</f>
        <v>316.44</v>
      </c>
    </row>
    <row r="9" spans="2:6" x14ac:dyDescent="0.4">
      <c r="B9" s="273"/>
      <c r="C9" s="3" t="s">
        <v>136</v>
      </c>
      <c r="D9" s="168">
        <f>D8</f>
        <v>263.7</v>
      </c>
      <c r="E9" s="115">
        <v>0.6</v>
      </c>
      <c r="F9" s="186">
        <f t="shared" si="1"/>
        <v>158.22</v>
      </c>
    </row>
    <row r="10" spans="2:6" ht="37.5" x14ac:dyDescent="0.4">
      <c r="B10" s="271" t="s">
        <v>359</v>
      </c>
      <c r="C10" s="166" t="s">
        <v>353</v>
      </c>
      <c r="D10" s="161"/>
      <c r="E10" s="115"/>
      <c r="F10" s="114"/>
    </row>
    <row r="11" spans="2:6" x14ac:dyDescent="0.4">
      <c r="B11" s="272"/>
      <c r="C11" s="3" t="s">
        <v>137</v>
      </c>
      <c r="D11" s="167">
        <f>★排水構造物調書!E35</f>
        <v>28.15</v>
      </c>
      <c r="E11" s="115">
        <v>0.27</v>
      </c>
      <c r="F11" s="114">
        <f>ROUND(E11*D11,2)</f>
        <v>7.6</v>
      </c>
    </row>
    <row r="12" spans="2:6" x14ac:dyDescent="0.4">
      <c r="B12" s="273"/>
      <c r="C12" s="3" t="s">
        <v>136</v>
      </c>
      <c r="D12" s="168">
        <f>D11</f>
        <v>28.15</v>
      </c>
      <c r="E12" s="115">
        <v>0.06</v>
      </c>
      <c r="F12" s="114">
        <f>ROUND(E12*D12,2)</f>
        <v>1.69</v>
      </c>
    </row>
    <row r="13" spans="2:6" ht="37.5" x14ac:dyDescent="0.4">
      <c r="B13" s="271" t="s">
        <v>359</v>
      </c>
      <c r="C13" s="166" t="s">
        <v>354</v>
      </c>
      <c r="D13" s="161"/>
      <c r="E13" s="115"/>
      <c r="F13" s="114"/>
    </row>
    <row r="14" spans="2:6" x14ac:dyDescent="0.4">
      <c r="B14" s="272"/>
      <c r="C14" s="3" t="s">
        <v>137</v>
      </c>
      <c r="D14" s="167">
        <f>★排水構造物調書!E42</f>
        <v>59.25</v>
      </c>
      <c r="E14" s="115">
        <v>0.9</v>
      </c>
      <c r="F14" s="114">
        <f>ROUND(E14*D14,2)</f>
        <v>53.33</v>
      </c>
    </row>
    <row r="15" spans="2:6" x14ac:dyDescent="0.4">
      <c r="B15" s="273"/>
      <c r="C15" s="3" t="s">
        <v>136</v>
      </c>
      <c r="D15" s="168">
        <f>D14</f>
        <v>59.25</v>
      </c>
      <c r="E15" s="115">
        <v>0.44</v>
      </c>
      <c r="F15" s="114">
        <f>ROUND(E15*D15,2)</f>
        <v>26.07</v>
      </c>
    </row>
    <row r="16" spans="2:6" ht="37.5" x14ac:dyDescent="0.4">
      <c r="B16" s="271" t="s">
        <v>359</v>
      </c>
      <c r="C16" s="166" t="s">
        <v>355</v>
      </c>
      <c r="D16" s="161"/>
      <c r="E16" s="115"/>
      <c r="F16" s="114"/>
    </row>
    <row r="17" spans="2:7" x14ac:dyDescent="0.4">
      <c r="B17" s="272"/>
      <c r="C17" s="3" t="s">
        <v>137</v>
      </c>
      <c r="D17" s="168">
        <f>★排水構造物調書!E48</f>
        <v>17.25</v>
      </c>
      <c r="E17" s="115">
        <v>0.25</v>
      </c>
      <c r="F17" s="114">
        <f>ROUND(E17*D17,2)</f>
        <v>4.3099999999999996</v>
      </c>
    </row>
    <row r="18" spans="2:7" x14ac:dyDescent="0.4">
      <c r="B18" s="273"/>
      <c r="C18" s="3" t="s">
        <v>136</v>
      </c>
      <c r="D18" s="168">
        <f>D17</f>
        <v>17.25</v>
      </c>
      <c r="E18" s="115">
        <v>0.15</v>
      </c>
      <c r="F18" s="114">
        <f>ROUND(E18*D18,2)</f>
        <v>2.59</v>
      </c>
    </row>
    <row r="19" spans="2:7" ht="37.5" x14ac:dyDescent="0.4">
      <c r="B19" s="271" t="s">
        <v>359</v>
      </c>
      <c r="C19" s="166" t="s">
        <v>451</v>
      </c>
      <c r="D19" s="161" t="s">
        <v>357</v>
      </c>
      <c r="E19" s="115" t="s">
        <v>350</v>
      </c>
      <c r="F19" s="114" t="s">
        <v>351</v>
      </c>
    </row>
    <row r="20" spans="2:7" x14ac:dyDescent="0.4">
      <c r="B20" s="272"/>
      <c r="C20" s="3" t="s">
        <v>137</v>
      </c>
      <c r="D20" s="115">
        <f>★桝調書!AB17</f>
        <v>37</v>
      </c>
      <c r="E20" s="115">
        <v>1.56</v>
      </c>
      <c r="F20" s="114">
        <f>ROUND(E20*D20,2)</f>
        <v>57.72</v>
      </c>
    </row>
    <row r="21" spans="2:7" x14ac:dyDescent="0.4">
      <c r="B21" s="273"/>
      <c r="C21" s="3" t="s">
        <v>136</v>
      </c>
      <c r="D21" s="115">
        <f>★桝調書!AB17</f>
        <v>37</v>
      </c>
      <c r="E21" s="115">
        <v>0.7</v>
      </c>
      <c r="F21" s="114">
        <f>ROUND(E21*D21,2)</f>
        <v>25.9</v>
      </c>
    </row>
    <row r="22" spans="2:7" x14ac:dyDescent="0.4">
      <c r="B22" s="280" t="s">
        <v>361</v>
      </c>
      <c r="C22" s="3"/>
      <c r="D22" s="161" t="s">
        <v>357</v>
      </c>
      <c r="E22" s="115" t="s">
        <v>350</v>
      </c>
      <c r="F22" s="114" t="s">
        <v>351</v>
      </c>
    </row>
    <row r="23" spans="2:7" ht="37.5" x14ac:dyDescent="0.4">
      <c r="B23" s="281"/>
      <c r="C23" s="166" t="s">
        <v>452</v>
      </c>
      <c r="D23" s="161"/>
      <c r="E23" s="115"/>
      <c r="F23" s="114"/>
    </row>
    <row r="24" spans="2:7" x14ac:dyDescent="0.4">
      <c r="B24" s="281"/>
      <c r="C24" s="3" t="s">
        <v>137</v>
      </c>
      <c r="D24" s="115">
        <v>20</v>
      </c>
      <c r="E24" s="115">
        <v>1.98</v>
      </c>
      <c r="F24" s="114">
        <f>ROUND(E24*D24,2)</f>
        <v>39.6</v>
      </c>
    </row>
    <row r="25" spans="2:7" x14ac:dyDescent="0.4">
      <c r="B25" s="282"/>
      <c r="C25" s="3" t="s">
        <v>136</v>
      </c>
      <c r="D25" s="115">
        <f>D24</f>
        <v>20</v>
      </c>
      <c r="E25" s="115">
        <v>0.84</v>
      </c>
      <c r="F25" s="114">
        <f>ROUND(E25*D25,2)</f>
        <v>16.8</v>
      </c>
    </row>
    <row r="26" spans="2:7" x14ac:dyDescent="0.4">
      <c r="B26" s="271" t="s">
        <v>365</v>
      </c>
      <c r="C26" s="171" t="s">
        <v>368</v>
      </c>
      <c r="D26" s="172" t="s">
        <v>356</v>
      </c>
      <c r="E26" s="173" t="s">
        <v>350</v>
      </c>
      <c r="F26" s="174" t="s">
        <v>351</v>
      </c>
    </row>
    <row r="27" spans="2:7" x14ac:dyDescent="0.4">
      <c r="B27" s="272"/>
      <c r="C27" s="175" t="s">
        <v>137</v>
      </c>
      <c r="D27" s="173">
        <f>★ベンチ基礎工!D4+★ベンチ基礎工!D20+★ベンチ基礎工!D36</f>
        <v>35.33</v>
      </c>
      <c r="E27" s="176">
        <v>1.29</v>
      </c>
      <c r="F27" s="174">
        <f t="shared" ref="F27:F28" si="2">ROUND(E27*D27,2)</f>
        <v>45.58</v>
      </c>
    </row>
    <row r="28" spans="2:7" x14ac:dyDescent="0.4">
      <c r="B28" s="273"/>
      <c r="C28" s="175" t="s">
        <v>136</v>
      </c>
      <c r="D28" s="173">
        <f>D27</f>
        <v>35.33</v>
      </c>
      <c r="E28" s="176">
        <v>0.8</v>
      </c>
      <c r="F28" s="174">
        <f t="shared" si="2"/>
        <v>28.26</v>
      </c>
    </row>
    <row r="29" spans="2:7" ht="37.5" x14ac:dyDescent="0.4">
      <c r="B29" s="271" t="s">
        <v>365</v>
      </c>
      <c r="C29" s="171" t="s">
        <v>364</v>
      </c>
      <c r="D29" s="172" t="s">
        <v>357</v>
      </c>
      <c r="E29" s="173" t="s">
        <v>350</v>
      </c>
      <c r="F29" s="174" t="s">
        <v>351</v>
      </c>
      <c r="G29" s="170"/>
    </row>
    <row r="30" spans="2:7" x14ac:dyDescent="0.4">
      <c r="B30" s="272"/>
      <c r="C30" s="175" t="s">
        <v>137</v>
      </c>
      <c r="D30" s="173">
        <v>5</v>
      </c>
      <c r="E30" s="176">
        <v>0.7</v>
      </c>
      <c r="F30" s="174">
        <f>ROUND(E30*D30,2)</f>
        <v>3.5</v>
      </c>
      <c r="G30" s="170"/>
    </row>
    <row r="31" spans="2:7" x14ac:dyDescent="0.4">
      <c r="B31" s="272"/>
      <c r="C31" s="175" t="s">
        <v>136</v>
      </c>
      <c r="D31" s="173">
        <v>5</v>
      </c>
      <c r="E31" s="176">
        <v>0.3</v>
      </c>
      <c r="F31" s="174">
        <f>ROUND(E31*D31,2)</f>
        <v>1.5</v>
      </c>
      <c r="G31" s="170"/>
    </row>
    <row r="32" spans="2:7" x14ac:dyDescent="0.4">
      <c r="B32" s="273"/>
      <c r="C32" s="277" t="s">
        <v>369</v>
      </c>
      <c r="D32" s="278"/>
      <c r="E32" s="278"/>
      <c r="F32" s="279"/>
      <c r="G32" s="170"/>
    </row>
    <row r="33" spans="2:7" ht="18.75" customHeight="1" x14ac:dyDescent="0.4">
      <c r="B33" s="283" t="s">
        <v>362</v>
      </c>
      <c r="C33" s="171" t="s">
        <v>363</v>
      </c>
      <c r="D33" s="172" t="s">
        <v>357</v>
      </c>
      <c r="E33" s="173" t="s">
        <v>350</v>
      </c>
      <c r="F33" s="174" t="s">
        <v>351</v>
      </c>
      <c r="G33" s="170"/>
    </row>
    <row r="34" spans="2:7" x14ac:dyDescent="0.4">
      <c r="B34" s="284"/>
      <c r="C34" s="175" t="s">
        <v>137</v>
      </c>
      <c r="D34" s="173">
        <v>1</v>
      </c>
      <c r="E34" s="173" t="s">
        <v>46</v>
      </c>
      <c r="F34" s="174">
        <v>0.65</v>
      </c>
      <c r="G34" s="170"/>
    </row>
    <row r="35" spans="2:7" x14ac:dyDescent="0.4">
      <c r="B35" s="284"/>
      <c r="C35" s="175" t="s">
        <v>136</v>
      </c>
      <c r="D35" s="173">
        <v>1</v>
      </c>
      <c r="E35" s="173" t="s">
        <v>46</v>
      </c>
      <c r="F35" s="174">
        <v>0.48</v>
      </c>
      <c r="G35" s="170"/>
    </row>
    <row r="36" spans="2:7" ht="35.25" customHeight="1" x14ac:dyDescent="0.4">
      <c r="B36" s="284"/>
      <c r="C36" s="171" t="s">
        <v>366</v>
      </c>
      <c r="D36" s="173">
        <v>1</v>
      </c>
      <c r="E36" s="173" t="s">
        <v>46</v>
      </c>
      <c r="F36" s="174">
        <f>F35*1.2/0.9</f>
        <v>0.6399999999999999</v>
      </c>
      <c r="G36" s="170"/>
    </row>
    <row r="37" spans="2:7" x14ac:dyDescent="0.4">
      <c r="G37" s="170"/>
    </row>
    <row r="38" spans="2:7" x14ac:dyDescent="0.4">
      <c r="B38" s="274" t="s">
        <v>35</v>
      </c>
      <c r="C38" s="218"/>
      <c r="D38" s="172"/>
      <c r="E38" s="183"/>
      <c r="F38" s="158" t="s">
        <v>351</v>
      </c>
      <c r="G38" s="170"/>
    </row>
    <row r="39" spans="2:7" x14ac:dyDescent="0.4">
      <c r="B39" s="275"/>
      <c r="C39" s="219" t="s">
        <v>370</v>
      </c>
      <c r="D39" s="179"/>
      <c r="E39" s="179"/>
      <c r="F39" s="158">
        <f>F4+F8+F11+F14+F17+F20+F24+F27+F34+F30</f>
        <v>536.57000000000005</v>
      </c>
    </row>
    <row r="40" spans="2:7" x14ac:dyDescent="0.4">
      <c r="B40" s="275"/>
      <c r="C40" s="219" t="s">
        <v>371</v>
      </c>
      <c r="D40" s="179"/>
      <c r="E40" s="179"/>
      <c r="F40" s="158">
        <f>F5+F9+F12+F15+F18+F21+F25+F28+F35</f>
        <v>261.97000000000003</v>
      </c>
    </row>
    <row r="41" spans="2:7" x14ac:dyDescent="0.4">
      <c r="B41" s="275"/>
      <c r="C41" s="220" t="s">
        <v>367</v>
      </c>
      <c r="D41" s="179"/>
      <c r="E41" s="179"/>
      <c r="F41" s="158">
        <f>F36</f>
        <v>0.6399999999999999</v>
      </c>
    </row>
    <row r="42" spans="2:7" x14ac:dyDescent="0.4">
      <c r="B42" s="276"/>
      <c r="C42" s="30" t="s">
        <v>448</v>
      </c>
      <c r="D42" s="48"/>
      <c r="E42" s="48"/>
      <c r="F42" s="221">
        <f>F6</f>
        <v>0.39</v>
      </c>
    </row>
  </sheetData>
  <mergeCells count="12">
    <mergeCell ref="C32:F32"/>
    <mergeCell ref="B26:B28"/>
    <mergeCell ref="B22:B25"/>
    <mergeCell ref="B33:B36"/>
    <mergeCell ref="B3:B6"/>
    <mergeCell ref="B38:B42"/>
    <mergeCell ref="B19:B21"/>
    <mergeCell ref="B7:B9"/>
    <mergeCell ref="B10:B12"/>
    <mergeCell ref="B13:B15"/>
    <mergeCell ref="B16:B18"/>
    <mergeCell ref="B29:B32"/>
  </mergeCells>
  <phoneticPr fontId="1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J48"/>
  <sheetViews>
    <sheetView topLeftCell="A10" zoomScale="85" zoomScaleNormal="85" workbookViewId="0">
      <selection activeCell="E24" sqref="E24"/>
    </sheetView>
  </sheetViews>
  <sheetFormatPr defaultRowHeight="18.75" x14ac:dyDescent="0.4"/>
  <cols>
    <col min="1" max="1" width="2.375" customWidth="1"/>
    <col min="2" max="2" width="2.625" customWidth="1"/>
    <col min="3" max="3" width="25.25" style="69" customWidth="1"/>
    <col min="4" max="4" width="2.875" style="69" customWidth="1"/>
    <col min="5" max="5" width="8.5" style="4" customWidth="1"/>
    <col min="6" max="6" width="4.875" customWidth="1"/>
    <col min="7" max="7" width="49.875" customWidth="1"/>
    <col min="8" max="8" width="16.25" customWidth="1"/>
    <col min="9" max="9" width="2.625" customWidth="1"/>
    <col min="10" max="10" width="9" style="4"/>
  </cols>
  <sheetData>
    <row r="1" spans="2:10" ht="39" customHeight="1" x14ac:dyDescent="0.4">
      <c r="B1" s="286" t="s">
        <v>211</v>
      </c>
      <c r="C1" s="286"/>
      <c r="D1" s="286"/>
      <c r="E1" s="286"/>
      <c r="F1" s="286"/>
      <c r="G1" s="286"/>
      <c r="H1" s="286"/>
    </row>
    <row r="2" spans="2:10" ht="7.5" customHeight="1" x14ac:dyDescent="0.4"/>
    <row r="3" spans="2:10" x14ac:dyDescent="0.4">
      <c r="B3" s="77"/>
      <c r="C3" s="78" t="s">
        <v>90</v>
      </c>
      <c r="D3" s="78"/>
      <c r="E3" s="285" t="s">
        <v>93</v>
      </c>
      <c r="F3" s="285"/>
      <c r="G3" s="78" t="s">
        <v>92</v>
      </c>
      <c r="H3" s="79" t="s">
        <v>122</v>
      </c>
    </row>
    <row r="4" spans="2:10" x14ac:dyDescent="0.4">
      <c r="B4" s="289" t="s">
        <v>126</v>
      </c>
      <c r="C4" s="287"/>
      <c r="D4" s="78"/>
      <c r="E4" s="78"/>
      <c r="F4" s="78"/>
      <c r="G4" s="78"/>
      <c r="H4" s="79"/>
    </row>
    <row r="5" spans="2:10" x14ac:dyDescent="0.4">
      <c r="B5" s="289" t="s">
        <v>127</v>
      </c>
      <c r="C5" s="287"/>
      <c r="D5" s="83"/>
      <c r="E5" s="78"/>
      <c r="F5" s="78"/>
      <c r="G5" s="78"/>
      <c r="H5" s="79"/>
    </row>
    <row r="6" spans="2:10" x14ac:dyDescent="0.4">
      <c r="B6" s="70"/>
      <c r="C6" s="73" t="s">
        <v>91</v>
      </c>
      <c r="D6" s="73"/>
      <c r="E6" s="82">
        <f>3.5+4.9+26.75+8.7+4.15+18.9+4+8.8+5.15+5.3</f>
        <v>90.149999999999991</v>
      </c>
      <c r="F6" s="84" t="s">
        <v>0</v>
      </c>
      <c r="G6" s="76" t="s">
        <v>95</v>
      </c>
      <c r="H6" s="88">
        <f t="shared" ref="H6:H14" si="0">J6*E6</f>
        <v>27044.999999999996</v>
      </c>
      <c r="J6" s="4">
        <v>300</v>
      </c>
    </row>
    <row r="7" spans="2:10" x14ac:dyDescent="0.4">
      <c r="B7" s="70"/>
      <c r="C7" s="73" t="s">
        <v>94</v>
      </c>
      <c r="D7" s="73"/>
      <c r="E7" s="82">
        <f>2+2+11.35+9+19.1+7.4</f>
        <v>50.85</v>
      </c>
      <c r="F7" s="85" t="s">
        <v>0</v>
      </c>
      <c r="G7" s="76" t="s">
        <v>469</v>
      </c>
      <c r="H7" s="88">
        <f>J7*E7</f>
        <v>20340</v>
      </c>
      <c r="J7" s="4">
        <v>400</v>
      </c>
    </row>
    <row r="8" spans="2:10" x14ac:dyDescent="0.4">
      <c r="B8" s="70"/>
      <c r="C8" s="73" t="s">
        <v>96</v>
      </c>
      <c r="D8" s="73"/>
      <c r="E8" s="82">
        <f>2+2+4.6+9.3+3.4+4.3+2+11.8</f>
        <v>39.4</v>
      </c>
      <c r="F8" s="85" t="s">
        <v>0</v>
      </c>
      <c r="G8" s="76" t="s">
        <v>103</v>
      </c>
      <c r="H8" s="88">
        <f>J8*E8</f>
        <v>19700</v>
      </c>
      <c r="J8" s="4">
        <v>500</v>
      </c>
    </row>
    <row r="9" spans="2:10" x14ac:dyDescent="0.4">
      <c r="B9" s="70"/>
      <c r="C9" s="73" t="s">
        <v>97</v>
      </c>
      <c r="D9" s="73"/>
      <c r="E9" s="82">
        <f>2+2+7.1+8</f>
        <v>19.100000000000001</v>
      </c>
      <c r="F9" s="85" t="s">
        <v>0</v>
      </c>
      <c r="G9" s="76" t="s">
        <v>214</v>
      </c>
      <c r="H9" s="88">
        <f t="shared" si="0"/>
        <v>11460</v>
      </c>
      <c r="J9" s="4">
        <v>600</v>
      </c>
    </row>
    <row r="10" spans="2:10" x14ac:dyDescent="0.4">
      <c r="B10" s="70"/>
      <c r="C10" s="73" t="s">
        <v>98</v>
      </c>
      <c r="D10" s="73"/>
      <c r="E10" s="82">
        <f>2+2</f>
        <v>4</v>
      </c>
      <c r="F10" s="85" t="s">
        <v>0</v>
      </c>
      <c r="G10" s="76" t="s">
        <v>104</v>
      </c>
      <c r="H10" s="88">
        <f t="shared" si="0"/>
        <v>2800</v>
      </c>
      <c r="J10" s="4">
        <v>700</v>
      </c>
    </row>
    <row r="11" spans="2:10" x14ac:dyDescent="0.4">
      <c r="B11" s="70"/>
      <c r="C11" s="73" t="s">
        <v>99</v>
      </c>
      <c r="D11" s="73"/>
      <c r="E11" s="82">
        <f>2+2</f>
        <v>4</v>
      </c>
      <c r="F11" s="85" t="s">
        <v>0</v>
      </c>
      <c r="G11" s="76" t="s">
        <v>104</v>
      </c>
      <c r="H11" s="88">
        <f t="shared" si="0"/>
        <v>3200</v>
      </c>
      <c r="J11" s="4">
        <v>800</v>
      </c>
    </row>
    <row r="12" spans="2:10" x14ac:dyDescent="0.4">
      <c r="B12" s="70"/>
      <c r="C12" s="73" t="s">
        <v>100</v>
      </c>
      <c r="D12" s="73"/>
      <c r="E12" s="82">
        <f>2.9+2+0.8</f>
        <v>5.7</v>
      </c>
      <c r="F12" s="85" t="s">
        <v>0</v>
      </c>
      <c r="G12" s="76" t="s">
        <v>78</v>
      </c>
      <c r="H12" s="88">
        <f t="shared" si="0"/>
        <v>5130</v>
      </c>
      <c r="J12" s="4">
        <v>900</v>
      </c>
    </row>
    <row r="13" spans="2:10" x14ac:dyDescent="0.4">
      <c r="B13" s="70"/>
      <c r="C13" s="73" t="s">
        <v>101</v>
      </c>
      <c r="D13" s="73"/>
      <c r="E13" s="82">
        <f>3.7+2</f>
        <v>5.7</v>
      </c>
      <c r="F13" s="85" t="s">
        <v>0</v>
      </c>
      <c r="G13" s="76" t="s">
        <v>77</v>
      </c>
      <c r="H13" s="88">
        <f t="shared" si="0"/>
        <v>5700</v>
      </c>
      <c r="J13" s="4">
        <v>1000</v>
      </c>
    </row>
    <row r="14" spans="2:10" x14ac:dyDescent="0.4">
      <c r="B14" s="70"/>
      <c r="C14" s="73" t="s">
        <v>102</v>
      </c>
      <c r="D14" s="73"/>
      <c r="E14" s="82">
        <f>4+5.3+3.1</f>
        <v>12.4</v>
      </c>
      <c r="F14" s="85" t="s">
        <v>0</v>
      </c>
      <c r="G14" s="76" t="s">
        <v>105</v>
      </c>
      <c r="H14" s="88">
        <f t="shared" si="0"/>
        <v>13640</v>
      </c>
      <c r="J14" s="4">
        <v>1100</v>
      </c>
    </row>
    <row r="15" spans="2:10" ht="37.5" x14ac:dyDescent="0.4">
      <c r="B15" s="70"/>
      <c r="C15" s="75" t="s">
        <v>106</v>
      </c>
      <c r="D15" s="75"/>
      <c r="E15" s="82">
        <f>ROUND(SUM(E6:E14)*0.9,0)</f>
        <v>208</v>
      </c>
      <c r="F15" s="86" t="s">
        <v>65</v>
      </c>
      <c r="G15" s="73" t="s">
        <v>111</v>
      </c>
      <c r="H15" s="89"/>
    </row>
    <row r="16" spans="2:10" ht="37.5" x14ac:dyDescent="0.4">
      <c r="B16" s="70"/>
      <c r="C16" s="75" t="s">
        <v>107</v>
      </c>
      <c r="D16" s="75"/>
      <c r="E16" s="82">
        <f>ROUND(SUM(E6:E14)*0.1,0)</f>
        <v>23</v>
      </c>
      <c r="F16" s="86" t="s">
        <v>65</v>
      </c>
      <c r="G16" s="76" t="s">
        <v>112</v>
      </c>
      <c r="H16" s="89"/>
    </row>
    <row r="17" spans="2:10" x14ac:dyDescent="0.4">
      <c r="B17" s="289" t="s">
        <v>128</v>
      </c>
      <c r="C17" s="287"/>
      <c r="D17" s="83"/>
      <c r="E17" s="96"/>
      <c r="F17" s="83"/>
      <c r="G17" s="80"/>
      <c r="H17" s="81"/>
    </row>
    <row r="18" spans="2:10" x14ac:dyDescent="0.4">
      <c r="B18" s="70"/>
      <c r="C18" s="73" t="s">
        <v>108</v>
      </c>
      <c r="D18" s="73"/>
      <c r="E18" s="82">
        <f>5.5+6.2</f>
        <v>11.7</v>
      </c>
      <c r="F18" s="84" t="s">
        <v>0</v>
      </c>
      <c r="G18" s="73" t="s">
        <v>80</v>
      </c>
      <c r="H18" s="88">
        <f>E18*J18</f>
        <v>3510</v>
      </c>
      <c r="J18" s="4">
        <v>300</v>
      </c>
    </row>
    <row r="19" spans="2:10" x14ac:dyDescent="0.4">
      <c r="B19" s="70"/>
      <c r="C19" s="73" t="s">
        <v>109</v>
      </c>
      <c r="D19" s="73"/>
      <c r="E19" s="82">
        <v>5.4</v>
      </c>
      <c r="F19" s="84" t="s">
        <v>0</v>
      </c>
      <c r="G19" s="73">
        <v>5.4</v>
      </c>
      <c r="H19" s="88">
        <f>E19*J19</f>
        <v>2160</v>
      </c>
      <c r="J19" s="4">
        <v>400</v>
      </c>
    </row>
    <row r="20" spans="2:10" x14ac:dyDescent="0.4">
      <c r="B20" s="70"/>
      <c r="C20" s="73" t="s">
        <v>110</v>
      </c>
      <c r="D20" s="73"/>
      <c r="E20" s="82">
        <f>4.5+10.8</f>
        <v>15.3</v>
      </c>
      <c r="F20" s="84" t="s">
        <v>0</v>
      </c>
      <c r="G20" s="73" t="s">
        <v>81</v>
      </c>
      <c r="H20" s="88">
        <f>E20*J20</f>
        <v>7650</v>
      </c>
      <c r="J20" s="4">
        <v>500</v>
      </c>
    </row>
    <row r="21" spans="2:10" ht="37.5" x14ac:dyDescent="0.4">
      <c r="B21" s="70"/>
      <c r="C21" s="75" t="s">
        <v>113</v>
      </c>
      <c r="D21" s="75"/>
      <c r="E21" s="82">
        <f>ROUNDUP(SUM(E18:E20)*0.5,0)</f>
        <v>17</v>
      </c>
      <c r="F21" s="86" t="s">
        <v>65</v>
      </c>
      <c r="G21" s="76" t="s">
        <v>114</v>
      </c>
      <c r="H21" s="88"/>
    </row>
    <row r="22" spans="2:10" x14ac:dyDescent="0.4">
      <c r="B22" s="287" t="s">
        <v>129</v>
      </c>
      <c r="C22" s="288"/>
      <c r="D22" s="75"/>
      <c r="E22" s="82"/>
      <c r="F22" s="86"/>
      <c r="G22" s="76"/>
      <c r="H22" s="88"/>
    </row>
    <row r="23" spans="2:10" ht="37.5" x14ac:dyDescent="0.4">
      <c r="B23" s="70"/>
      <c r="C23" s="75" t="s">
        <v>125</v>
      </c>
      <c r="D23" s="75"/>
      <c r="E23" s="82"/>
      <c r="F23" s="86"/>
      <c r="G23" s="90" t="s">
        <v>133</v>
      </c>
      <c r="H23" s="88">
        <f>ROUND((SUM(H6:H14)+SUM(H18:H20))/(SUM(E6:E14)+SUM(E18:E20)),0)</f>
        <v>464</v>
      </c>
    </row>
    <row r="24" spans="2:10" x14ac:dyDescent="0.4">
      <c r="B24" s="70"/>
      <c r="C24" s="75" t="s">
        <v>124</v>
      </c>
      <c r="D24" s="75"/>
      <c r="E24" s="82">
        <f>SUM(E6:E14)+SUM(E18:E20)</f>
        <v>263.7</v>
      </c>
      <c r="F24" s="86" t="s">
        <v>0</v>
      </c>
      <c r="G24" s="90"/>
      <c r="H24" s="88"/>
    </row>
    <row r="25" spans="2:10" x14ac:dyDescent="0.4">
      <c r="B25" s="290" t="s">
        <v>455</v>
      </c>
      <c r="C25" s="291"/>
      <c r="D25" s="75"/>
      <c r="E25" s="82"/>
      <c r="F25" s="86"/>
      <c r="G25" s="90"/>
      <c r="H25" s="88"/>
      <c r="J25" s="156"/>
    </row>
    <row r="26" spans="2:10" x14ac:dyDescent="0.4">
      <c r="B26" s="70"/>
      <c r="C26" s="75" t="s">
        <v>456</v>
      </c>
      <c r="D26" s="75"/>
      <c r="E26" s="95">
        <f>ROUND(H26,0)</f>
        <v>4</v>
      </c>
      <c r="F26" s="86" t="s">
        <v>0</v>
      </c>
      <c r="G26" s="40" t="s">
        <v>457</v>
      </c>
      <c r="H26" s="88">
        <v>3.6</v>
      </c>
      <c r="J26" s="156"/>
    </row>
    <row r="27" spans="2:10" ht="22.5" customHeight="1" x14ac:dyDescent="0.4">
      <c r="B27" s="70"/>
      <c r="C27" s="292" t="s">
        <v>458</v>
      </c>
      <c r="D27" s="292"/>
      <c r="E27" s="292"/>
      <c r="F27" s="292"/>
      <c r="G27" s="292"/>
      <c r="H27" s="88"/>
      <c r="J27" s="156"/>
    </row>
    <row r="28" spans="2:10" x14ac:dyDescent="0.4">
      <c r="B28" s="290" t="s">
        <v>138</v>
      </c>
      <c r="C28" s="291"/>
      <c r="D28" s="75"/>
      <c r="E28" s="82"/>
      <c r="F28" s="86"/>
      <c r="G28" s="90"/>
      <c r="H28" s="88"/>
    </row>
    <row r="29" spans="2:10" x14ac:dyDescent="0.4">
      <c r="B29" s="70"/>
      <c r="C29" s="75" t="s">
        <v>139</v>
      </c>
      <c r="D29" s="75"/>
      <c r="E29" s="95">
        <f>12.2+5.45</f>
        <v>17.649999999999999</v>
      </c>
      <c r="F29" s="86" t="s">
        <v>0</v>
      </c>
      <c r="G29" s="40" t="s">
        <v>82</v>
      </c>
      <c r="H29" s="88">
        <f>J29*E29</f>
        <v>3176.9999999999995</v>
      </c>
      <c r="J29" s="4">
        <v>180</v>
      </c>
    </row>
    <row r="30" spans="2:10" ht="39.75" customHeight="1" x14ac:dyDescent="0.4">
      <c r="B30" s="70"/>
      <c r="C30" s="75" t="s">
        <v>466</v>
      </c>
      <c r="D30" s="75"/>
      <c r="E30" s="97">
        <f>ROUND(E29,0)</f>
        <v>18</v>
      </c>
      <c r="F30" s="86" t="s">
        <v>65</v>
      </c>
      <c r="G30" s="58"/>
      <c r="H30" s="88"/>
    </row>
    <row r="31" spans="2:10" x14ac:dyDescent="0.4">
      <c r="B31" s="70"/>
      <c r="C31" s="75" t="s">
        <v>140</v>
      </c>
      <c r="D31" s="75"/>
      <c r="E31" s="95">
        <f>5.4+5.1</f>
        <v>10.5</v>
      </c>
      <c r="F31" s="86" t="s">
        <v>0</v>
      </c>
      <c r="G31" s="15" t="s">
        <v>83</v>
      </c>
      <c r="H31" s="88">
        <f>E31*J31</f>
        <v>2625</v>
      </c>
      <c r="J31" s="4">
        <v>250</v>
      </c>
    </row>
    <row r="32" spans="2:10" ht="37.5" x14ac:dyDescent="0.4">
      <c r="B32" s="70"/>
      <c r="C32" s="75" t="s">
        <v>465</v>
      </c>
      <c r="D32" s="75"/>
      <c r="E32" s="222">
        <v>11</v>
      </c>
      <c r="F32" s="86" t="s">
        <v>464</v>
      </c>
      <c r="G32" s="90" t="s">
        <v>463</v>
      </c>
      <c r="H32" s="88"/>
    </row>
    <row r="33" spans="2:10" x14ac:dyDescent="0.4">
      <c r="B33" s="287" t="s">
        <v>129</v>
      </c>
      <c r="C33" s="288"/>
      <c r="D33" s="75"/>
      <c r="E33" s="82"/>
      <c r="F33" s="86"/>
      <c r="G33" s="76"/>
      <c r="H33" s="88"/>
    </row>
    <row r="34" spans="2:10" ht="37.5" x14ac:dyDescent="0.4">
      <c r="B34" s="70"/>
      <c r="C34" s="75" t="s">
        <v>142</v>
      </c>
      <c r="D34" s="75"/>
      <c r="E34" s="82"/>
      <c r="F34" s="86"/>
      <c r="G34" s="90" t="s">
        <v>141</v>
      </c>
      <c r="H34" s="88">
        <f>ROUND(SUM(H29:H31)/(E29+E31),2)</f>
        <v>206.11</v>
      </c>
    </row>
    <row r="35" spans="2:10" x14ac:dyDescent="0.4">
      <c r="B35" s="70"/>
      <c r="C35" s="75" t="s">
        <v>89</v>
      </c>
      <c r="D35" s="75"/>
      <c r="E35" s="82">
        <f>E29+E31</f>
        <v>28.15</v>
      </c>
      <c r="F35" s="86" t="s">
        <v>0</v>
      </c>
      <c r="G35" s="90"/>
      <c r="H35" s="88"/>
    </row>
    <row r="36" spans="2:10" x14ac:dyDescent="0.4">
      <c r="B36" s="289" t="s">
        <v>115</v>
      </c>
      <c r="C36" s="287"/>
      <c r="D36" s="83"/>
      <c r="E36" s="82"/>
      <c r="F36" s="73"/>
      <c r="G36" s="76"/>
      <c r="H36" s="94"/>
    </row>
    <row r="37" spans="2:10" x14ac:dyDescent="0.4">
      <c r="B37" s="70"/>
      <c r="C37" s="73" t="s">
        <v>116</v>
      </c>
      <c r="D37" s="73"/>
      <c r="E37" s="82">
        <f>5.5+6.6+5.9</f>
        <v>18</v>
      </c>
      <c r="F37" s="84" t="s">
        <v>0</v>
      </c>
      <c r="G37" s="73" t="s">
        <v>79</v>
      </c>
      <c r="H37" s="88">
        <f>E37*J37</f>
        <v>2700</v>
      </c>
      <c r="J37" s="4">
        <v>150</v>
      </c>
    </row>
    <row r="38" spans="2:10" x14ac:dyDescent="0.4">
      <c r="B38" s="70"/>
      <c r="C38" s="73" t="s">
        <v>117</v>
      </c>
      <c r="D38" s="73"/>
      <c r="E38" s="82">
        <f>4.5+6.3+5.1+5.5+5.7+5.7</f>
        <v>32.799999999999997</v>
      </c>
      <c r="F38" s="84" t="s">
        <v>0</v>
      </c>
      <c r="G38" s="73" t="s">
        <v>470</v>
      </c>
      <c r="H38" s="88">
        <f>E38*J38</f>
        <v>6559.9999999999991</v>
      </c>
      <c r="J38" s="4">
        <v>200</v>
      </c>
    </row>
    <row r="39" spans="2:10" x14ac:dyDescent="0.4">
      <c r="B39" s="70"/>
      <c r="C39" s="73" t="s">
        <v>118</v>
      </c>
      <c r="D39" s="73"/>
      <c r="E39" s="82">
        <v>8.4499999999999993</v>
      </c>
      <c r="F39" s="84" t="s">
        <v>0</v>
      </c>
      <c r="G39" s="73">
        <v>8.4499999999999993</v>
      </c>
      <c r="H39" s="88">
        <f>E39*J39</f>
        <v>2112.5</v>
      </c>
      <c r="J39" s="4">
        <v>250</v>
      </c>
    </row>
    <row r="40" spans="2:10" x14ac:dyDescent="0.4">
      <c r="B40" s="287" t="s">
        <v>129</v>
      </c>
      <c r="C40" s="288"/>
      <c r="D40" s="75"/>
      <c r="E40" s="82"/>
      <c r="F40" s="86"/>
      <c r="G40" s="76"/>
      <c r="H40" s="88"/>
    </row>
    <row r="41" spans="2:10" ht="37.5" x14ac:dyDescent="0.4">
      <c r="B41" s="70"/>
      <c r="C41" s="75" t="s">
        <v>130</v>
      </c>
      <c r="D41" s="75"/>
      <c r="E41" s="82"/>
      <c r="F41" s="86"/>
      <c r="G41" s="90" t="s">
        <v>132</v>
      </c>
      <c r="H41" s="88">
        <f>ROUND(SUM(H37:H39)/(SUM(E37:E39)),0)</f>
        <v>192</v>
      </c>
    </row>
    <row r="42" spans="2:10" x14ac:dyDescent="0.4">
      <c r="B42" s="70"/>
      <c r="C42" s="75" t="s">
        <v>89</v>
      </c>
      <c r="D42" s="75"/>
      <c r="E42" s="82">
        <f>SUM(E37:E39)</f>
        <v>59.25</v>
      </c>
      <c r="F42" s="86" t="s">
        <v>0</v>
      </c>
      <c r="G42" s="90"/>
      <c r="H42" s="88"/>
    </row>
    <row r="43" spans="2:10" x14ac:dyDescent="0.4">
      <c r="B43" s="289" t="s">
        <v>121</v>
      </c>
      <c r="C43" s="287"/>
      <c r="D43" s="83"/>
      <c r="E43" s="82"/>
      <c r="F43" s="73"/>
      <c r="G43" s="73"/>
      <c r="H43" s="88"/>
    </row>
    <row r="44" spans="2:10" x14ac:dyDescent="0.4">
      <c r="B44" s="70"/>
      <c r="C44" s="73" t="s">
        <v>119</v>
      </c>
      <c r="D44" s="73"/>
      <c r="E44" s="82">
        <f>5.85+4.85</f>
        <v>10.7</v>
      </c>
      <c r="F44" s="84" t="s">
        <v>0</v>
      </c>
      <c r="G44" s="76" t="s">
        <v>84</v>
      </c>
      <c r="H44" s="88">
        <f>E44*J44</f>
        <v>1605</v>
      </c>
      <c r="J44" s="4">
        <v>150</v>
      </c>
    </row>
    <row r="45" spans="2:10" x14ac:dyDescent="0.4">
      <c r="B45" s="70"/>
      <c r="C45" s="73" t="s">
        <v>120</v>
      </c>
      <c r="D45" s="73"/>
      <c r="E45" s="82">
        <f>0.85+0.4+4.9+0.4</f>
        <v>6.5500000000000007</v>
      </c>
      <c r="F45" s="84" t="s">
        <v>0</v>
      </c>
      <c r="G45" s="76" t="s">
        <v>86</v>
      </c>
      <c r="H45" s="88">
        <f>E45*J45</f>
        <v>1310.0000000000002</v>
      </c>
      <c r="J45" s="4">
        <v>200</v>
      </c>
    </row>
    <row r="46" spans="2:10" x14ac:dyDescent="0.4">
      <c r="B46" s="287" t="s">
        <v>129</v>
      </c>
      <c r="C46" s="288"/>
      <c r="D46" s="75"/>
      <c r="E46" s="82"/>
      <c r="F46" s="86"/>
      <c r="G46" s="76"/>
      <c r="H46" s="88"/>
    </row>
    <row r="47" spans="2:10" ht="37.5" x14ac:dyDescent="0.4">
      <c r="B47" s="70"/>
      <c r="C47" s="75" t="s">
        <v>131</v>
      </c>
      <c r="D47" s="75"/>
      <c r="E47" s="82"/>
      <c r="F47" s="86"/>
      <c r="G47" s="90" t="s">
        <v>134</v>
      </c>
      <c r="H47" s="88">
        <f>ROUND(SUM(H44:H45)/(SUM(E44:E45)),0)</f>
        <v>169</v>
      </c>
    </row>
    <row r="48" spans="2:10" x14ac:dyDescent="0.4">
      <c r="B48" s="70"/>
      <c r="C48" s="75" t="s">
        <v>89</v>
      </c>
      <c r="D48" s="75"/>
      <c r="E48" s="82">
        <f>SUM(E44:E45)</f>
        <v>17.25</v>
      </c>
      <c r="F48" s="86" t="s">
        <v>0</v>
      </c>
      <c r="G48" s="90"/>
      <c r="H48" s="88"/>
    </row>
  </sheetData>
  <mergeCells count="14">
    <mergeCell ref="B46:C46"/>
    <mergeCell ref="B28:C28"/>
    <mergeCell ref="B33:C33"/>
    <mergeCell ref="B5:C5"/>
    <mergeCell ref="B17:C17"/>
    <mergeCell ref="B36:C36"/>
    <mergeCell ref="B43:C43"/>
    <mergeCell ref="B25:C25"/>
    <mergeCell ref="C27:G27"/>
    <mergeCell ref="E3:F3"/>
    <mergeCell ref="B1:H1"/>
    <mergeCell ref="B22:C22"/>
    <mergeCell ref="B4:C4"/>
    <mergeCell ref="B40:C40"/>
  </mergeCells>
  <phoneticPr fontId="1"/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A34" zoomScale="70" zoomScaleNormal="70" workbookViewId="0">
      <selection activeCell="J37" sqref="J37"/>
    </sheetView>
  </sheetViews>
  <sheetFormatPr defaultRowHeight="18.75" x14ac:dyDescent="0.4"/>
  <cols>
    <col min="2" max="8" width="12.875" customWidth="1"/>
  </cols>
  <sheetData>
    <row r="1" spans="1:12" ht="39" customHeight="1" x14ac:dyDescent="0.4">
      <c r="A1" s="98"/>
      <c r="B1" s="286" t="s">
        <v>254</v>
      </c>
      <c r="C1" s="286"/>
      <c r="D1" s="286"/>
      <c r="E1" s="286"/>
      <c r="F1" s="286"/>
      <c r="G1" s="286"/>
      <c r="H1" s="286"/>
      <c r="I1" s="98"/>
    </row>
    <row r="2" spans="1:12" x14ac:dyDescent="0.4">
      <c r="A2" s="98"/>
      <c r="B2" s="133" t="s">
        <v>221</v>
      </c>
      <c r="C2" s="132"/>
      <c r="D2" s="132"/>
      <c r="E2" s="132"/>
      <c r="F2" s="132"/>
      <c r="G2" s="132"/>
      <c r="H2" s="132"/>
      <c r="I2" s="98"/>
      <c r="J2" s="98"/>
      <c r="K2" s="98"/>
      <c r="L2" s="98"/>
    </row>
    <row r="3" spans="1:12" x14ac:dyDescent="0.4">
      <c r="A3" s="98"/>
      <c r="B3" s="99"/>
      <c r="C3" s="92" t="s">
        <v>222</v>
      </c>
      <c r="D3" s="93" t="s">
        <v>223</v>
      </c>
      <c r="E3" s="93" t="s">
        <v>224</v>
      </c>
      <c r="F3" s="93" t="s">
        <v>123</v>
      </c>
      <c r="G3" s="93" t="s">
        <v>184</v>
      </c>
      <c r="H3" s="101" t="s">
        <v>225</v>
      </c>
      <c r="I3" s="98"/>
      <c r="J3" s="98"/>
      <c r="K3" s="98"/>
      <c r="L3" s="98"/>
    </row>
    <row r="4" spans="1:12" x14ac:dyDescent="0.4">
      <c r="A4" s="98"/>
      <c r="B4" s="99" t="s">
        <v>226</v>
      </c>
      <c r="C4" s="92">
        <v>0.08</v>
      </c>
      <c r="D4" s="93">
        <v>0.15</v>
      </c>
      <c r="E4" s="93">
        <f>ROUND((C4+D4)/2,2)</f>
        <v>0.12</v>
      </c>
      <c r="F4" s="127">
        <v>5.5</v>
      </c>
      <c r="G4" s="127">
        <v>0.3</v>
      </c>
      <c r="H4" s="128">
        <f>ROUND(E4*F4*G4,2)</f>
        <v>0.2</v>
      </c>
      <c r="I4" s="98"/>
      <c r="J4" s="98"/>
      <c r="K4" s="98"/>
      <c r="L4" s="98"/>
    </row>
    <row r="5" spans="1:12" x14ac:dyDescent="0.4">
      <c r="A5" s="98"/>
      <c r="B5" s="99" t="s">
        <v>227</v>
      </c>
      <c r="C5" s="92">
        <v>6.5000000000000002E-2</v>
      </c>
      <c r="D5" s="93">
        <v>9.5000000000000001E-2</v>
      </c>
      <c r="E5" s="93">
        <f t="shared" ref="E5:E12" si="0">ROUND((C5+D5)/2,2)</f>
        <v>0.08</v>
      </c>
      <c r="F5" s="93">
        <v>11.35</v>
      </c>
      <c r="G5" s="127">
        <v>0.3</v>
      </c>
      <c r="H5" s="128">
        <f t="shared" ref="H5:H10" si="1">ROUND(E5*F5*G5,2)</f>
        <v>0.27</v>
      </c>
      <c r="I5" s="98"/>
      <c r="J5" s="98"/>
      <c r="K5" s="98"/>
      <c r="L5" s="98"/>
    </row>
    <row r="6" spans="1:12" x14ac:dyDescent="0.4">
      <c r="A6" s="98"/>
      <c r="B6" s="293" t="s">
        <v>228</v>
      </c>
      <c r="C6" s="92">
        <v>0.05</v>
      </c>
      <c r="D6" s="93">
        <v>9.5000000000000001E-2</v>
      </c>
      <c r="E6" s="93">
        <f t="shared" si="0"/>
        <v>7.0000000000000007E-2</v>
      </c>
      <c r="F6" s="93">
        <v>9</v>
      </c>
      <c r="G6" s="127">
        <v>0.3</v>
      </c>
      <c r="H6" s="128">
        <f t="shared" si="1"/>
        <v>0.19</v>
      </c>
      <c r="I6" s="98"/>
      <c r="J6" s="98"/>
      <c r="K6" s="98"/>
      <c r="L6" s="98"/>
    </row>
    <row r="7" spans="1:12" x14ac:dyDescent="0.4">
      <c r="A7" s="98"/>
      <c r="B7" s="294"/>
      <c r="C7" s="92">
        <v>0.15</v>
      </c>
      <c r="D7" s="93">
        <v>0.13</v>
      </c>
      <c r="E7" s="93">
        <f t="shared" ref="E7" si="2">ROUND((C7+D7)/2,2)</f>
        <v>0.14000000000000001</v>
      </c>
      <c r="F7" s="93">
        <v>4.5999999999999996</v>
      </c>
      <c r="G7" s="127">
        <v>0.3</v>
      </c>
      <c r="H7" s="128">
        <f t="shared" ref="H7" si="3">ROUND(E7*F7*G7,2)</f>
        <v>0.19</v>
      </c>
      <c r="I7" s="98"/>
      <c r="J7" s="98"/>
      <c r="K7" s="98"/>
      <c r="L7" s="98"/>
    </row>
    <row r="8" spans="1:12" x14ac:dyDescent="0.4">
      <c r="A8" s="98"/>
      <c r="B8" s="99" t="s">
        <v>229</v>
      </c>
      <c r="C8" s="92">
        <v>0.13</v>
      </c>
      <c r="D8" s="93">
        <v>0.115</v>
      </c>
      <c r="E8" s="93">
        <f t="shared" si="0"/>
        <v>0.12</v>
      </c>
      <c r="F8" s="93">
        <v>4.5</v>
      </c>
      <c r="G8" s="127">
        <v>0.3</v>
      </c>
      <c r="H8" s="128">
        <f t="shared" si="1"/>
        <v>0.16</v>
      </c>
      <c r="I8" s="98"/>
      <c r="J8" s="98"/>
      <c r="K8" s="98"/>
      <c r="L8" s="98"/>
    </row>
    <row r="9" spans="1:12" x14ac:dyDescent="0.4">
      <c r="A9" s="98"/>
      <c r="B9" s="99" t="s">
        <v>230</v>
      </c>
      <c r="C9" s="92">
        <v>0.115</v>
      </c>
      <c r="D9" s="93">
        <v>0.13</v>
      </c>
      <c r="E9" s="93">
        <f t="shared" si="0"/>
        <v>0.12</v>
      </c>
      <c r="F9" s="93">
        <v>9.3000000000000007</v>
      </c>
      <c r="G9" s="127">
        <v>0.3</v>
      </c>
      <c r="H9" s="128">
        <f t="shared" si="1"/>
        <v>0.33</v>
      </c>
      <c r="I9" s="98"/>
      <c r="J9" s="98"/>
      <c r="K9" s="98"/>
      <c r="L9" s="98"/>
    </row>
    <row r="10" spans="1:12" x14ac:dyDescent="0.4">
      <c r="A10" s="98"/>
      <c r="B10" s="99" t="s">
        <v>231</v>
      </c>
      <c r="C10" s="92">
        <v>0.13500000000000001</v>
      </c>
      <c r="D10" s="93">
        <v>0.125</v>
      </c>
      <c r="E10" s="93">
        <f t="shared" si="0"/>
        <v>0.13</v>
      </c>
      <c r="F10" s="93">
        <v>3.4</v>
      </c>
      <c r="G10" s="127">
        <v>0.3</v>
      </c>
      <c r="H10" s="128">
        <f t="shared" si="1"/>
        <v>0.13</v>
      </c>
      <c r="I10" s="98"/>
      <c r="J10" s="98"/>
      <c r="K10" s="98"/>
      <c r="L10" s="98"/>
    </row>
    <row r="11" spans="1:12" x14ac:dyDescent="0.4">
      <c r="A11" s="98"/>
      <c r="B11" s="99" t="s">
        <v>235</v>
      </c>
      <c r="C11" s="92">
        <v>8.5000000000000006E-2</v>
      </c>
      <c r="D11" s="93">
        <v>0.05</v>
      </c>
      <c r="E11" s="93">
        <f t="shared" si="0"/>
        <v>7.0000000000000007E-2</v>
      </c>
      <c r="F11" s="93">
        <v>6.2</v>
      </c>
      <c r="G11" s="127">
        <v>0.3</v>
      </c>
      <c r="H11" s="128">
        <f t="shared" ref="H11:H12" si="4">ROUND(E11*F11*G11,2)</f>
        <v>0.13</v>
      </c>
      <c r="I11" s="98"/>
      <c r="J11" s="98"/>
      <c r="K11" s="98"/>
      <c r="L11" s="98"/>
    </row>
    <row r="12" spans="1:12" x14ac:dyDescent="0.4">
      <c r="A12" s="98"/>
      <c r="B12" s="99" t="s">
        <v>233</v>
      </c>
      <c r="C12" s="92">
        <v>0.05</v>
      </c>
      <c r="D12" s="93">
        <v>0.105</v>
      </c>
      <c r="E12" s="93">
        <f t="shared" si="0"/>
        <v>0.08</v>
      </c>
      <c r="F12" s="93">
        <v>4</v>
      </c>
      <c r="G12" s="127">
        <v>0.3</v>
      </c>
      <c r="H12" s="128">
        <f t="shared" si="4"/>
        <v>0.1</v>
      </c>
      <c r="I12" s="98"/>
      <c r="J12" s="103"/>
      <c r="K12" s="98"/>
      <c r="L12" s="98"/>
    </row>
    <row r="13" spans="1:12" x14ac:dyDescent="0.4">
      <c r="A13" s="98"/>
      <c r="B13" s="132"/>
      <c r="C13" s="98"/>
      <c r="D13" s="98"/>
      <c r="E13" s="98"/>
      <c r="F13" s="98"/>
      <c r="G13" s="129"/>
      <c r="H13" s="129"/>
      <c r="I13" s="98"/>
      <c r="J13" s="98"/>
      <c r="K13" s="98"/>
      <c r="L13" s="98"/>
    </row>
    <row r="14" spans="1:12" x14ac:dyDescent="0.4">
      <c r="A14" s="98"/>
      <c r="B14" s="133" t="s">
        <v>236</v>
      </c>
      <c r="C14" s="98"/>
      <c r="D14" s="98"/>
      <c r="E14" s="98"/>
      <c r="F14" s="98"/>
      <c r="G14" s="129"/>
      <c r="H14" s="129"/>
      <c r="I14" s="98"/>
      <c r="J14" s="98"/>
      <c r="K14" s="98"/>
      <c r="L14" s="98"/>
    </row>
    <row r="15" spans="1:12" x14ac:dyDescent="0.4">
      <c r="A15" s="98"/>
      <c r="B15" s="99"/>
      <c r="C15" s="93" t="s">
        <v>222</v>
      </c>
      <c r="D15" s="93" t="s">
        <v>223</v>
      </c>
      <c r="E15" s="93" t="s">
        <v>224</v>
      </c>
      <c r="F15" s="93" t="s">
        <v>123</v>
      </c>
      <c r="G15" s="93" t="s">
        <v>184</v>
      </c>
      <c r="H15" s="101" t="s">
        <v>225</v>
      </c>
      <c r="I15" s="98"/>
      <c r="J15" s="98"/>
      <c r="K15" s="98"/>
      <c r="L15" s="98"/>
    </row>
    <row r="16" spans="1:12" x14ac:dyDescent="0.4">
      <c r="A16" s="98"/>
      <c r="B16" s="99" t="s">
        <v>237</v>
      </c>
      <c r="C16" s="93">
        <v>9.5000000000000001E-2</v>
      </c>
      <c r="D16" s="93">
        <v>0.05</v>
      </c>
      <c r="E16" s="93">
        <f>ROUND((C16+D16)/2,2)</f>
        <v>7.0000000000000007E-2</v>
      </c>
      <c r="F16" s="127">
        <v>8.8000000000000007</v>
      </c>
      <c r="G16" s="127">
        <v>0.3</v>
      </c>
      <c r="H16" s="128">
        <f>ROUND(E16*F16*G16,2)</f>
        <v>0.18</v>
      </c>
      <c r="I16" s="98"/>
      <c r="J16" s="98"/>
      <c r="K16" s="98"/>
      <c r="L16" s="98"/>
    </row>
    <row r="17" spans="1:12" x14ac:dyDescent="0.4">
      <c r="A17" s="98"/>
      <c r="B17" s="99" t="s">
        <v>235</v>
      </c>
      <c r="C17" s="93">
        <v>0.14499999999999999</v>
      </c>
      <c r="D17" s="93">
        <v>6.5000000000000002E-2</v>
      </c>
      <c r="E17" s="93">
        <f t="shared" ref="E17" si="5">ROUND((C17+D17)/2,2)</f>
        <v>0.11</v>
      </c>
      <c r="F17" s="93">
        <v>19.100000000000001</v>
      </c>
      <c r="G17" s="127">
        <v>0.3</v>
      </c>
      <c r="H17" s="128">
        <f t="shared" ref="H17" si="6">ROUND(E17*F17*G17,2)</f>
        <v>0.63</v>
      </c>
      <c r="I17" s="98"/>
      <c r="J17" s="98"/>
      <c r="K17" s="98"/>
      <c r="L17" s="98"/>
    </row>
    <row r="18" spans="1:12" x14ac:dyDescent="0.4">
      <c r="A18" s="98"/>
      <c r="B18" s="99" t="s">
        <v>238</v>
      </c>
      <c r="C18" s="93">
        <v>0.05</v>
      </c>
      <c r="D18" s="93">
        <v>6.5000000000000002E-2</v>
      </c>
      <c r="E18" s="93">
        <f t="shared" ref="E18:E23" si="7">ROUND((C18+D18)/2,2)</f>
        <v>0.06</v>
      </c>
      <c r="F18" s="93">
        <v>5.4</v>
      </c>
      <c r="G18" s="127">
        <v>0.3</v>
      </c>
      <c r="H18" s="128">
        <f t="shared" ref="H18:H23" si="8">ROUND(E18*F18*G18,2)</f>
        <v>0.1</v>
      </c>
      <c r="I18" s="98"/>
      <c r="J18" s="98"/>
      <c r="K18" s="98"/>
      <c r="L18" s="98"/>
    </row>
    <row r="19" spans="1:12" x14ac:dyDescent="0.4">
      <c r="A19" s="98"/>
      <c r="B19" s="99" t="s">
        <v>239</v>
      </c>
      <c r="C19" s="93">
        <v>0.15</v>
      </c>
      <c r="D19" s="93">
        <v>0.13500000000000001</v>
      </c>
      <c r="E19" s="93">
        <f t="shared" si="7"/>
        <v>0.14000000000000001</v>
      </c>
      <c r="F19" s="93">
        <v>4.3</v>
      </c>
      <c r="G19" s="127">
        <v>0.3</v>
      </c>
      <c r="H19" s="128">
        <f t="shared" si="8"/>
        <v>0.18</v>
      </c>
      <c r="I19" s="98"/>
      <c r="J19" s="98"/>
      <c r="K19" s="98"/>
      <c r="L19" s="98"/>
    </row>
    <row r="20" spans="1:12" x14ac:dyDescent="0.4">
      <c r="A20" s="98"/>
      <c r="B20" s="99" t="s">
        <v>241</v>
      </c>
      <c r="C20" s="93">
        <v>0.125</v>
      </c>
      <c r="D20" s="93">
        <v>8.5000000000000006E-2</v>
      </c>
      <c r="E20" s="93">
        <f t="shared" si="7"/>
        <v>0.11</v>
      </c>
      <c r="F20" s="93">
        <v>11.8</v>
      </c>
      <c r="G20" s="127">
        <v>0.3</v>
      </c>
      <c r="H20" s="128">
        <f t="shared" si="8"/>
        <v>0.39</v>
      </c>
      <c r="I20" s="98"/>
      <c r="J20" s="98"/>
      <c r="K20" s="98"/>
      <c r="L20" s="98"/>
    </row>
    <row r="21" spans="1:12" x14ac:dyDescent="0.4">
      <c r="A21" s="98"/>
      <c r="B21" s="99" t="s">
        <v>243</v>
      </c>
      <c r="C21" s="93">
        <v>0.115</v>
      </c>
      <c r="D21" s="93">
        <v>0.125</v>
      </c>
      <c r="E21" s="93">
        <f t="shared" si="7"/>
        <v>0.12</v>
      </c>
      <c r="F21" s="93">
        <v>10.8</v>
      </c>
      <c r="G21" s="127">
        <v>0.3</v>
      </c>
      <c r="H21" s="128">
        <f t="shared" si="8"/>
        <v>0.39</v>
      </c>
      <c r="I21" s="98"/>
      <c r="J21" s="98"/>
      <c r="K21" s="98"/>
      <c r="L21" s="98"/>
    </row>
    <row r="22" spans="1:12" x14ac:dyDescent="0.4">
      <c r="A22" s="98"/>
      <c r="B22" s="130" t="s">
        <v>244</v>
      </c>
      <c r="C22" s="93">
        <v>0.105</v>
      </c>
      <c r="D22" s="93">
        <v>0.14499999999999999</v>
      </c>
      <c r="E22" s="93">
        <f t="shared" si="7"/>
        <v>0.13</v>
      </c>
      <c r="F22" s="93">
        <v>5.3</v>
      </c>
      <c r="G22" s="127">
        <v>0.3</v>
      </c>
      <c r="H22" s="128">
        <f t="shared" si="8"/>
        <v>0.21</v>
      </c>
      <c r="I22" s="98"/>
    </row>
    <row r="23" spans="1:12" x14ac:dyDescent="0.4">
      <c r="A23" s="98"/>
      <c r="B23" s="130" t="s">
        <v>233</v>
      </c>
      <c r="C23" s="93">
        <v>7.4999999999999997E-2</v>
      </c>
      <c r="D23" s="93">
        <v>0.14499999999999999</v>
      </c>
      <c r="E23" s="93">
        <f t="shared" si="7"/>
        <v>0.11</v>
      </c>
      <c r="F23" s="93">
        <v>5.15</v>
      </c>
      <c r="G23" s="127">
        <v>0.3</v>
      </c>
      <c r="H23" s="128">
        <f t="shared" si="8"/>
        <v>0.17</v>
      </c>
      <c r="I23" s="98"/>
    </row>
    <row r="24" spans="1:12" x14ac:dyDescent="0.4">
      <c r="A24" s="98"/>
      <c r="B24" s="98"/>
      <c r="C24" s="98"/>
      <c r="D24" s="98"/>
      <c r="E24" s="98"/>
      <c r="F24" s="98"/>
      <c r="G24" s="98"/>
      <c r="H24" s="98"/>
      <c r="I24" s="98"/>
    </row>
    <row r="25" spans="1:12" x14ac:dyDescent="0.4">
      <c r="A25" s="98"/>
      <c r="B25" s="133" t="s">
        <v>245</v>
      </c>
      <c r="C25" s="98"/>
      <c r="D25" s="98"/>
      <c r="E25" s="98"/>
      <c r="F25" s="98"/>
      <c r="G25" s="129"/>
      <c r="H25" s="129"/>
      <c r="I25" s="98"/>
    </row>
    <row r="26" spans="1:12" x14ac:dyDescent="0.4">
      <c r="A26" s="98"/>
      <c r="B26" s="99"/>
      <c r="C26" s="93" t="s">
        <v>222</v>
      </c>
      <c r="D26" s="93" t="s">
        <v>223</v>
      </c>
      <c r="E26" s="93" t="s">
        <v>224</v>
      </c>
      <c r="F26" s="93" t="s">
        <v>123</v>
      </c>
      <c r="G26" s="93" t="s">
        <v>184</v>
      </c>
      <c r="H26" s="101" t="s">
        <v>225</v>
      </c>
      <c r="I26" s="98"/>
    </row>
    <row r="27" spans="1:12" x14ac:dyDescent="0.4">
      <c r="A27" s="98"/>
      <c r="B27" s="99" t="s">
        <v>240</v>
      </c>
      <c r="C27" s="93">
        <v>6.5000000000000002E-2</v>
      </c>
      <c r="D27" s="93">
        <v>0.115</v>
      </c>
      <c r="E27" s="93">
        <f t="shared" ref="E27:E28" si="9">ROUND((C27+D27)/2,2)</f>
        <v>0.09</v>
      </c>
      <c r="F27" s="127">
        <v>9.1</v>
      </c>
      <c r="G27" s="127">
        <v>0.3</v>
      </c>
      <c r="H27" s="128">
        <f t="shared" ref="H27:H28" si="10">ROUND(E27*F27*G27,2)</f>
        <v>0.25</v>
      </c>
      <c r="I27" s="98"/>
    </row>
    <row r="28" spans="1:12" x14ac:dyDescent="0.4">
      <c r="A28" s="98"/>
      <c r="B28" s="99" t="s">
        <v>242</v>
      </c>
      <c r="C28" s="93">
        <v>0.115</v>
      </c>
      <c r="D28" s="93">
        <v>9.5000000000000001E-2</v>
      </c>
      <c r="E28" s="93">
        <f t="shared" si="9"/>
        <v>0.11</v>
      </c>
      <c r="F28" s="127">
        <v>8</v>
      </c>
      <c r="G28" s="127">
        <v>0.3</v>
      </c>
      <c r="H28" s="128">
        <f t="shared" si="10"/>
        <v>0.26</v>
      </c>
      <c r="I28" s="98"/>
    </row>
    <row r="29" spans="1:12" x14ac:dyDescent="0.4">
      <c r="A29" s="98"/>
      <c r="B29" s="98"/>
      <c r="C29" s="98"/>
      <c r="D29" s="98"/>
      <c r="E29" s="98"/>
      <c r="F29" s="98"/>
      <c r="G29" s="98"/>
      <c r="H29" s="98"/>
      <c r="I29" s="98"/>
    </row>
    <row r="30" spans="1:12" x14ac:dyDescent="0.4">
      <c r="A30" s="98"/>
      <c r="B30" s="133" t="s">
        <v>248</v>
      </c>
      <c r="C30" s="98"/>
      <c r="D30" s="98"/>
      <c r="E30" s="98"/>
      <c r="F30" s="98"/>
      <c r="G30" s="129"/>
      <c r="H30" s="129"/>
      <c r="I30" s="98"/>
    </row>
    <row r="31" spans="1:12" x14ac:dyDescent="0.4">
      <c r="A31" s="98"/>
      <c r="B31" s="99"/>
      <c r="C31" s="93" t="s">
        <v>222</v>
      </c>
      <c r="D31" s="93" t="s">
        <v>223</v>
      </c>
      <c r="E31" s="93" t="s">
        <v>224</v>
      </c>
      <c r="F31" s="93" t="s">
        <v>123</v>
      </c>
      <c r="G31" s="93" t="s">
        <v>184</v>
      </c>
      <c r="H31" s="101" t="s">
        <v>225</v>
      </c>
      <c r="I31" s="98"/>
    </row>
    <row r="32" spans="1:12" x14ac:dyDescent="0.4">
      <c r="A32" s="98"/>
      <c r="B32" s="99" t="s">
        <v>237</v>
      </c>
      <c r="C32" s="93">
        <v>0.185</v>
      </c>
      <c r="D32" s="93">
        <v>0.15</v>
      </c>
      <c r="E32" s="93">
        <f t="shared" ref="E32:E33" si="11">ROUND((C32+D32)/2,2)</f>
        <v>0.17</v>
      </c>
      <c r="F32" s="127">
        <v>18.899999999999999</v>
      </c>
      <c r="G32" s="127">
        <v>0.3</v>
      </c>
      <c r="H32" s="128">
        <f t="shared" ref="H32:H33" si="12">ROUND(E32*F32*G32,2)</f>
        <v>0.96</v>
      </c>
      <c r="I32" s="98"/>
    </row>
    <row r="33" spans="1:9" x14ac:dyDescent="0.4">
      <c r="A33" s="98"/>
      <c r="B33" s="293" t="s">
        <v>234</v>
      </c>
      <c r="C33" s="93">
        <v>0.245</v>
      </c>
      <c r="D33" s="93">
        <v>0.13200000000000001</v>
      </c>
      <c r="E33" s="93">
        <f t="shared" si="11"/>
        <v>0.19</v>
      </c>
      <c r="F33" s="127">
        <v>2</v>
      </c>
      <c r="G33" s="127">
        <v>0.3</v>
      </c>
      <c r="H33" s="128">
        <f t="shared" si="12"/>
        <v>0.11</v>
      </c>
      <c r="I33" s="98"/>
    </row>
    <row r="34" spans="1:9" x14ac:dyDescent="0.4">
      <c r="A34" s="98"/>
      <c r="B34" s="295"/>
      <c r="C34" s="93">
        <v>0.11899999999999999</v>
      </c>
      <c r="D34" s="93">
        <v>0.23200000000000001</v>
      </c>
      <c r="E34" s="93">
        <f t="shared" ref="E34:E38" si="13">ROUND((C34+D34)/2,2)</f>
        <v>0.18</v>
      </c>
      <c r="F34" s="127">
        <v>2</v>
      </c>
      <c r="G34" s="127">
        <v>0.3</v>
      </c>
      <c r="H34" s="128">
        <f t="shared" ref="H34:H38" si="14">ROUND(E34*F34*G34,2)</f>
        <v>0.11</v>
      </c>
      <c r="I34" s="98"/>
    </row>
    <row r="35" spans="1:9" x14ac:dyDescent="0.4">
      <c r="A35" s="98"/>
      <c r="B35" s="295"/>
      <c r="C35" s="93">
        <v>0.107</v>
      </c>
      <c r="D35" s="93">
        <v>0.219</v>
      </c>
      <c r="E35" s="93">
        <f t="shared" si="13"/>
        <v>0.16</v>
      </c>
      <c r="F35" s="127">
        <v>2</v>
      </c>
      <c r="G35" s="127">
        <v>0.3</v>
      </c>
      <c r="H35" s="128">
        <f t="shared" si="14"/>
        <v>0.1</v>
      </c>
      <c r="I35" s="98"/>
    </row>
    <row r="36" spans="1:9" x14ac:dyDescent="0.4">
      <c r="A36" s="98"/>
      <c r="B36" s="295"/>
      <c r="C36" s="93">
        <v>9.4E-2</v>
      </c>
      <c r="D36" s="93">
        <v>0.20699999999999999</v>
      </c>
      <c r="E36" s="93">
        <f t="shared" si="13"/>
        <v>0.15</v>
      </c>
      <c r="F36" s="127">
        <v>2</v>
      </c>
      <c r="G36" s="127">
        <v>0.3</v>
      </c>
      <c r="H36" s="128">
        <f t="shared" si="14"/>
        <v>0.09</v>
      </c>
      <c r="I36" s="98"/>
    </row>
    <row r="37" spans="1:9" x14ac:dyDescent="0.4">
      <c r="A37" s="98"/>
      <c r="B37" s="295"/>
      <c r="C37" s="93">
        <v>8.1000000000000003E-2</v>
      </c>
      <c r="D37" s="93">
        <v>0.19400000000000001</v>
      </c>
      <c r="E37" s="93">
        <f t="shared" si="13"/>
        <v>0.14000000000000001</v>
      </c>
      <c r="F37" s="127">
        <v>2</v>
      </c>
      <c r="G37" s="127">
        <v>0.3</v>
      </c>
      <c r="H37" s="128">
        <f t="shared" si="14"/>
        <v>0.08</v>
      </c>
      <c r="I37" s="98"/>
    </row>
    <row r="38" spans="1:9" x14ac:dyDescent="0.4">
      <c r="A38" s="98"/>
      <c r="B38" s="294"/>
      <c r="C38" s="93">
        <v>0.13500000000000001</v>
      </c>
      <c r="D38" s="93">
        <v>0.18099999999999999</v>
      </c>
      <c r="E38" s="93">
        <f t="shared" si="13"/>
        <v>0.16</v>
      </c>
      <c r="F38" s="127">
        <v>0.8</v>
      </c>
      <c r="G38" s="127">
        <v>0.3</v>
      </c>
      <c r="H38" s="128">
        <f t="shared" si="14"/>
        <v>0.04</v>
      </c>
      <c r="I38" s="98"/>
    </row>
    <row r="39" spans="1:9" x14ac:dyDescent="0.4">
      <c r="A39" s="98"/>
      <c r="B39" s="293" t="s">
        <v>232</v>
      </c>
      <c r="C39" s="93">
        <v>0.13500000000000001</v>
      </c>
      <c r="D39" s="93">
        <v>6.7000000000000004E-2</v>
      </c>
      <c r="E39" s="93">
        <f t="shared" ref="E39:E56" si="15">ROUND((C39+D39)/2,2)</f>
        <v>0.1</v>
      </c>
      <c r="F39" s="127">
        <v>2</v>
      </c>
      <c r="G39" s="127">
        <v>0.3</v>
      </c>
      <c r="H39" s="128">
        <f t="shared" ref="H39" si="16">ROUND(E39*F39*G39,2)</f>
        <v>0.06</v>
      </c>
      <c r="I39" s="98"/>
    </row>
    <row r="40" spans="1:9" x14ac:dyDescent="0.4">
      <c r="A40" s="98"/>
      <c r="B40" s="295"/>
      <c r="C40" s="93">
        <v>0.1</v>
      </c>
      <c r="D40" s="93">
        <v>0.16700000000000001</v>
      </c>
      <c r="E40" s="93">
        <f t="shared" si="15"/>
        <v>0.13</v>
      </c>
      <c r="F40" s="127">
        <v>2</v>
      </c>
      <c r="G40" s="127">
        <v>0.3</v>
      </c>
      <c r="H40" s="128">
        <f t="shared" ref="H40:H51" si="17">ROUND(E40*F40*G40,2)</f>
        <v>0.08</v>
      </c>
      <c r="I40" s="98"/>
    </row>
    <row r="41" spans="1:9" x14ac:dyDescent="0.4">
      <c r="A41" s="98"/>
      <c r="B41" s="294"/>
      <c r="C41" s="93">
        <v>0.2</v>
      </c>
      <c r="D41" s="93">
        <v>9.5000000000000001E-2</v>
      </c>
      <c r="E41" s="93">
        <f t="shared" si="15"/>
        <v>0.15</v>
      </c>
      <c r="F41" s="127">
        <v>3.1</v>
      </c>
      <c r="G41" s="127">
        <v>0.3</v>
      </c>
      <c r="H41" s="128">
        <f t="shared" si="17"/>
        <v>0.14000000000000001</v>
      </c>
      <c r="I41" s="98"/>
    </row>
    <row r="42" spans="1:9" x14ac:dyDescent="0.4">
      <c r="A42" s="98"/>
      <c r="B42" s="99" t="s">
        <v>246</v>
      </c>
      <c r="C42" s="93">
        <v>9.5000000000000001E-2</v>
      </c>
      <c r="D42" s="93">
        <v>9.5000000000000001E-2</v>
      </c>
      <c r="E42" s="93">
        <f t="shared" si="15"/>
        <v>0.1</v>
      </c>
      <c r="F42" s="127">
        <v>5.3</v>
      </c>
      <c r="G42" s="127">
        <v>0.3</v>
      </c>
      <c r="H42" s="128">
        <f t="shared" si="17"/>
        <v>0.16</v>
      </c>
      <c r="I42" s="98"/>
    </row>
    <row r="43" spans="1:9" x14ac:dyDescent="0.4">
      <c r="A43" s="98"/>
      <c r="B43" s="293" t="s">
        <v>247</v>
      </c>
      <c r="C43" s="93">
        <v>8.5000000000000006E-2</v>
      </c>
      <c r="D43" s="93">
        <v>0.184</v>
      </c>
      <c r="E43" s="93">
        <f t="shared" si="15"/>
        <v>0.13</v>
      </c>
      <c r="F43" s="127">
        <v>4</v>
      </c>
      <c r="G43" s="127">
        <v>0.3</v>
      </c>
      <c r="H43" s="128">
        <f t="shared" si="17"/>
        <v>0.16</v>
      </c>
      <c r="I43" s="98"/>
    </row>
    <row r="44" spans="1:9" x14ac:dyDescent="0.4">
      <c r="A44" s="98"/>
      <c r="B44" s="294"/>
      <c r="C44" s="93">
        <v>8.4000000000000005E-2</v>
      </c>
      <c r="D44" s="93">
        <v>0.17499999999999999</v>
      </c>
      <c r="E44" s="93">
        <f t="shared" si="15"/>
        <v>0.13</v>
      </c>
      <c r="F44" s="127">
        <v>3.7</v>
      </c>
      <c r="G44" s="127">
        <v>0.3</v>
      </c>
      <c r="H44" s="128">
        <f t="shared" si="17"/>
        <v>0.14000000000000001</v>
      </c>
      <c r="I44" s="98"/>
    </row>
    <row r="45" spans="1:9" x14ac:dyDescent="0.4">
      <c r="A45" s="98"/>
      <c r="B45" s="293" t="s">
        <v>249</v>
      </c>
      <c r="C45" s="93">
        <v>7.4999999999999997E-2</v>
      </c>
      <c r="D45" s="93">
        <v>0.20799999999999999</v>
      </c>
      <c r="E45" s="93">
        <f t="shared" si="15"/>
        <v>0.14000000000000001</v>
      </c>
      <c r="F45" s="127">
        <v>2.9</v>
      </c>
      <c r="G45" s="127">
        <v>0.3</v>
      </c>
      <c r="H45" s="128">
        <f t="shared" si="17"/>
        <v>0.12</v>
      </c>
      <c r="I45" s="98"/>
    </row>
    <row r="46" spans="1:9" x14ac:dyDescent="0.4">
      <c r="A46" s="98"/>
      <c r="B46" s="295"/>
      <c r="C46" s="93">
        <v>0.108</v>
      </c>
      <c r="D46" s="93">
        <v>0.2</v>
      </c>
      <c r="E46" s="93">
        <f t="shared" si="15"/>
        <v>0.15</v>
      </c>
      <c r="F46" s="127">
        <v>2</v>
      </c>
      <c r="G46" s="127">
        <v>0.3</v>
      </c>
      <c r="H46" s="128">
        <f t="shared" si="17"/>
        <v>0.09</v>
      </c>
      <c r="I46" s="98"/>
    </row>
    <row r="47" spans="1:9" x14ac:dyDescent="0.4">
      <c r="A47" s="98"/>
      <c r="B47" s="295"/>
      <c r="C47" s="93">
        <v>0.191</v>
      </c>
      <c r="D47" s="93">
        <v>0.1</v>
      </c>
      <c r="E47" s="93">
        <f t="shared" si="15"/>
        <v>0.15</v>
      </c>
      <c r="F47" s="127">
        <v>2</v>
      </c>
      <c r="G47" s="127">
        <v>0.3</v>
      </c>
      <c r="H47" s="128">
        <f t="shared" si="17"/>
        <v>0.09</v>
      </c>
      <c r="I47" s="98"/>
    </row>
    <row r="48" spans="1:9" x14ac:dyDescent="0.4">
      <c r="A48" s="98"/>
      <c r="B48" s="295"/>
      <c r="C48" s="93">
        <v>0.182</v>
      </c>
      <c r="D48" s="93">
        <v>9.0999999999999998E-2</v>
      </c>
      <c r="E48" s="93">
        <f t="shared" si="15"/>
        <v>0.14000000000000001</v>
      </c>
      <c r="F48" s="127">
        <v>2</v>
      </c>
      <c r="G48" s="127">
        <v>0.3</v>
      </c>
      <c r="H48" s="128">
        <f t="shared" si="17"/>
        <v>0.08</v>
      </c>
      <c r="I48" s="98"/>
    </row>
    <row r="49" spans="1:9" x14ac:dyDescent="0.4">
      <c r="A49" s="98"/>
      <c r="B49" s="295"/>
      <c r="C49" s="93">
        <v>0.17399999999999999</v>
      </c>
      <c r="D49" s="93">
        <v>8.2000000000000003E-2</v>
      </c>
      <c r="E49" s="93">
        <f t="shared" si="15"/>
        <v>0.13</v>
      </c>
      <c r="F49" s="127">
        <v>2</v>
      </c>
      <c r="G49" s="127">
        <v>0.3</v>
      </c>
      <c r="H49" s="128">
        <f t="shared" si="17"/>
        <v>0.08</v>
      </c>
      <c r="I49" s="98"/>
    </row>
    <row r="50" spans="1:9" x14ac:dyDescent="0.4">
      <c r="A50" s="98"/>
      <c r="B50" s="294"/>
      <c r="C50" s="93">
        <v>7.3999999999999996E-2</v>
      </c>
      <c r="D50" s="93">
        <v>0.16500000000000001</v>
      </c>
      <c r="E50" s="93">
        <f t="shared" si="15"/>
        <v>0.12</v>
      </c>
      <c r="F50" s="127">
        <v>2</v>
      </c>
      <c r="G50" s="127">
        <v>0.3</v>
      </c>
      <c r="H50" s="128">
        <f t="shared" si="17"/>
        <v>7.0000000000000007E-2</v>
      </c>
      <c r="I50" s="98"/>
    </row>
    <row r="51" spans="1:9" x14ac:dyDescent="0.4">
      <c r="A51" s="98"/>
      <c r="B51" s="99" t="s">
        <v>250</v>
      </c>
      <c r="C51" s="93">
        <v>0.05</v>
      </c>
      <c r="D51" s="93">
        <v>0.05</v>
      </c>
      <c r="E51" s="93">
        <f t="shared" si="15"/>
        <v>0.05</v>
      </c>
      <c r="F51" s="127">
        <v>3.5</v>
      </c>
      <c r="G51" s="127">
        <v>0.3</v>
      </c>
      <c r="H51" s="128">
        <f t="shared" si="17"/>
        <v>0.05</v>
      </c>
      <c r="I51" s="98"/>
    </row>
    <row r="52" spans="1:9" x14ac:dyDescent="0.4">
      <c r="A52" s="98"/>
      <c r="B52" s="99" t="s">
        <v>238</v>
      </c>
      <c r="C52" s="93">
        <v>8.5000000000000006E-2</v>
      </c>
      <c r="D52" s="93">
        <v>8.5000000000000006E-2</v>
      </c>
      <c r="E52" s="93">
        <f t="shared" si="15"/>
        <v>0.09</v>
      </c>
      <c r="F52" s="127">
        <v>4.1500000000000004</v>
      </c>
      <c r="G52" s="127">
        <v>0.3</v>
      </c>
      <c r="H52" s="128">
        <f t="shared" ref="H52:H56" si="18">ROUND(E52*F52*G52,2)</f>
        <v>0.11</v>
      </c>
      <c r="I52" s="98"/>
    </row>
    <row r="53" spans="1:9" x14ac:dyDescent="0.4">
      <c r="A53" s="98"/>
      <c r="B53" s="99" t="s">
        <v>251</v>
      </c>
      <c r="C53" s="93">
        <v>5.8000000000000003E-2</v>
      </c>
      <c r="D53" s="93">
        <v>5.2999999999999999E-2</v>
      </c>
      <c r="E53" s="93">
        <f t="shared" si="15"/>
        <v>0.06</v>
      </c>
      <c r="F53" s="127">
        <v>8.6999999999999993</v>
      </c>
      <c r="G53" s="127">
        <v>0.3</v>
      </c>
      <c r="H53" s="128">
        <f t="shared" si="18"/>
        <v>0.16</v>
      </c>
      <c r="I53" s="98"/>
    </row>
    <row r="54" spans="1:9" x14ac:dyDescent="0.4">
      <c r="A54" s="98"/>
      <c r="B54" s="99" t="s">
        <v>241</v>
      </c>
      <c r="C54" s="93">
        <v>5.5E-2</v>
      </c>
      <c r="D54" s="93">
        <v>5.5E-2</v>
      </c>
      <c r="E54" s="93">
        <f t="shared" si="15"/>
        <v>0.06</v>
      </c>
      <c r="F54" s="127">
        <v>26.75</v>
      </c>
      <c r="G54" s="127">
        <v>0.3</v>
      </c>
      <c r="H54" s="128">
        <f t="shared" si="18"/>
        <v>0.48</v>
      </c>
      <c r="I54" s="98"/>
    </row>
    <row r="55" spans="1:9" x14ac:dyDescent="0.4">
      <c r="A55" s="98"/>
      <c r="B55" s="99" t="s">
        <v>243</v>
      </c>
      <c r="C55" s="93">
        <v>0.125</v>
      </c>
      <c r="D55" s="93">
        <v>0.155</v>
      </c>
      <c r="E55" s="93">
        <f t="shared" si="15"/>
        <v>0.14000000000000001</v>
      </c>
      <c r="F55" s="127">
        <v>4.9000000000000004</v>
      </c>
      <c r="G55" s="127">
        <v>0.3</v>
      </c>
      <c r="H55" s="128">
        <f t="shared" si="18"/>
        <v>0.21</v>
      </c>
      <c r="I55" s="98"/>
    </row>
    <row r="56" spans="1:9" x14ac:dyDescent="0.4">
      <c r="A56" s="98"/>
      <c r="B56" s="99" t="s">
        <v>252</v>
      </c>
      <c r="C56" s="93">
        <v>5.5E-2</v>
      </c>
      <c r="D56" s="93">
        <v>0.155</v>
      </c>
      <c r="E56" s="93">
        <f t="shared" si="15"/>
        <v>0.11</v>
      </c>
      <c r="F56" s="127">
        <v>7.4</v>
      </c>
      <c r="G56" s="127">
        <v>0.3</v>
      </c>
      <c r="H56" s="128">
        <f t="shared" si="18"/>
        <v>0.24</v>
      </c>
      <c r="I56" s="98"/>
    </row>
    <row r="57" spans="1:9" x14ac:dyDescent="0.4">
      <c r="A57" s="98"/>
      <c r="B57" s="98"/>
      <c r="C57" s="98"/>
      <c r="D57" s="98"/>
      <c r="E57" s="98"/>
      <c r="F57" s="98"/>
      <c r="G57" s="98"/>
      <c r="H57" s="98"/>
      <c r="I57" s="98"/>
    </row>
    <row r="58" spans="1:9" x14ac:dyDescent="0.4">
      <c r="A58" s="98"/>
      <c r="B58" s="98"/>
      <c r="C58" s="98"/>
      <c r="D58" s="98"/>
      <c r="E58" s="98"/>
      <c r="F58" s="98"/>
      <c r="G58" s="132" t="s">
        <v>253</v>
      </c>
      <c r="H58" s="131">
        <f>SUM(H4:H12)+SUM(H16:H23)+SUM(H27:H28)+SUM(H32:H56)</f>
        <v>8.4699999999999989</v>
      </c>
      <c r="I58" s="98"/>
    </row>
    <row r="59" spans="1:9" x14ac:dyDescent="0.4">
      <c r="A59" s="98"/>
      <c r="B59" s="98"/>
      <c r="C59" s="98"/>
      <c r="D59" s="98"/>
      <c r="E59" s="98"/>
      <c r="F59" s="98"/>
      <c r="G59" s="98"/>
      <c r="H59" s="98"/>
      <c r="I59" s="98"/>
    </row>
  </sheetData>
  <mergeCells count="6">
    <mergeCell ref="B1:H1"/>
    <mergeCell ref="B6:B7"/>
    <mergeCell ref="B33:B38"/>
    <mergeCell ref="B39:B41"/>
    <mergeCell ref="B45:B50"/>
    <mergeCell ref="B43:B44"/>
  </mergeCells>
  <phoneticPr fontId="1"/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4"/>
  <sheetViews>
    <sheetView zoomScale="85" zoomScaleNormal="85" workbookViewId="0">
      <selection activeCell="AB19" sqref="AB19"/>
    </sheetView>
  </sheetViews>
  <sheetFormatPr defaultRowHeight="18.75" x14ac:dyDescent="0.4"/>
  <cols>
    <col min="1" max="2" width="4.5" customWidth="1"/>
    <col min="3" max="4" width="9" style="103"/>
    <col min="5" max="5" width="4.375" style="103" customWidth="1"/>
    <col min="6" max="6" width="2.375" style="103" customWidth="1"/>
    <col min="7" max="7" width="4.375" style="103" customWidth="1"/>
    <col min="8" max="8" width="2.375" style="103" customWidth="1"/>
    <col min="9" max="12" width="6.25" style="103" customWidth="1"/>
    <col min="13" max="15" width="12.125" style="103" customWidth="1"/>
    <col min="16" max="16" width="19.25" style="103" customWidth="1"/>
    <col min="17" max="17" width="16" style="103" customWidth="1"/>
    <col min="18" max="18" width="9" style="98"/>
    <col min="19" max="19" width="11.5" style="98" customWidth="1"/>
    <col min="20" max="20" width="7.375" style="98" customWidth="1"/>
    <col min="21" max="21" width="3.25" style="98" customWidth="1"/>
    <col min="22" max="22" width="7.375" style="98" customWidth="1"/>
    <col min="23" max="23" width="3.375" style="98" customWidth="1"/>
    <col min="24" max="24" width="7.375" style="98" customWidth="1"/>
    <col min="25" max="27" width="6.125" style="98" customWidth="1"/>
    <col min="28" max="28" width="9" style="104" customWidth="1"/>
    <col min="29" max="29" width="9.75" style="98" customWidth="1"/>
    <col min="30" max="30" width="11" customWidth="1"/>
  </cols>
  <sheetData>
    <row r="1" spans="2:31" ht="24.75" x14ac:dyDescent="0.4">
      <c r="B1" s="316" t="s">
        <v>209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S1" s="313" t="s">
        <v>210</v>
      </c>
      <c r="T1" s="313"/>
      <c r="U1" s="313"/>
      <c r="V1" s="313"/>
      <c r="W1" s="313"/>
      <c r="X1" s="313"/>
      <c r="Y1" s="313"/>
      <c r="Z1" s="313"/>
      <c r="AA1" s="313"/>
      <c r="AB1" s="313"/>
      <c r="AC1" s="313"/>
    </row>
    <row r="2" spans="2:31" x14ac:dyDescent="0.4">
      <c r="B2" s="312"/>
      <c r="C2" s="309" t="s">
        <v>183</v>
      </c>
      <c r="D2" s="310" t="s">
        <v>196</v>
      </c>
      <c r="E2" s="311"/>
      <c r="F2" s="311"/>
      <c r="G2" s="311"/>
      <c r="H2" s="311"/>
      <c r="I2" s="308"/>
      <c r="J2" s="309" t="s">
        <v>186</v>
      </c>
      <c r="K2" s="309"/>
      <c r="L2" s="310"/>
      <c r="M2" s="310" t="s">
        <v>207</v>
      </c>
      <c r="N2" s="311"/>
      <c r="O2" s="311"/>
      <c r="P2" s="311"/>
      <c r="Q2" s="309" t="s">
        <v>188</v>
      </c>
      <c r="S2" s="309" t="s">
        <v>196</v>
      </c>
      <c r="T2" s="309"/>
      <c r="U2" s="309"/>
      <c r="V2" s="309"/>
      <c r="W2" s="309"/>
      <c r="X2" s="309"/>
      <c r="Y2" s="297" t="s">
        <v>186</v>
      </c>
      <c r="Z2" s="296"/>
      <c r="AA2" s="296"/>
      <c r="AB2" s="309" t="s">
        <v>93</v>
      </c>
      <c r="AC2" s="309"/>
      <c r="AD2" s="255" t="s">
        <v>217</v>
      </c>
    </row>
    <row r="3" spans="2:31" ht="37.5" x14ac:dyDescent="0.4">
      <c r="B3" s="312"/>
      <c r="C3" s="309"/>
      <c r="D3" s="107" t="s">
        <v>198</v>
      </c>
      <c r="E3" s="106" t="s">
        <v>123</v>
      </c>
      <c r="F3" s="106"/>
      <c r="G3" s="106" t="s">
        <v>184</v>
      </c>
      <c r="H3" s="106"/>
      <c r="I3" s="108" t="s">
        <v>185</v>
      </c>
      <c r="J3" s="309"/>
      <c r="K3" s="309"/>
      <c r="L3" s="310"/>
      <c r="M3" s="110" t="s">
        <v>205</v>
      </c>
      <c r="N3" s="108" t="s">
        <v>203</v>
      </c>
      <c r="O3" s="106" t="s">
        <v>204</v>
      </c>
      <c r="P3" s="109" t="s">
        <v>206</v>
      </c>
      <c r="Q3" s="309"/>
      <c r="S3" s="91" t="s">
        <v>198</v>
      </c>
      <c r="T3" s="71" t="s">
        <v>123</v>
      </c>
      <c r="U3" s="71"/>
      <c r="V3" s="71" t="s">
        <v>184</v>
      </c>
      <c r="W3" s="71"/>
      <c r="X3" s="72" t="s">
        <v>185</v>
      </c>
      <c r="Y3" s="298"/>
      <c r="Z3" s="299"/>
      <c r="AA3" s="299"/>
      <c r="AB3" s="309"/>
      <c r="AC3" s="309"/>
      <c r="AD3" s="255"/>
    </row>
    <row r="4" spans="2:31" x14ac:dyDescent="0.4">
      <c r="B4" s="4">
        <v>1</v>
      </c>
      <c r="C4" s="87" t="s">
        <v>182</v>
      </c>
      <c r="D4" s="91" t="s">
        <v>191</v>
      </c>
      <c r="E4" s="71">
        <v>500</v>
      </c>
      <c r="F4" s="71" t="s">
        <v>143</v>
      </c>
      <c r="G4" s="71">
        <v>500</v>
      </c>
      <c r="H4" s="71" t="s">
        <v>143</v>
      </c>
      <c r="I4" s="72">
        <f>P4</f>
        <v>400</v>
      </c>
      <c r="J4" s="91" t="s">
        <v>187</v>
      </c>
      <c r="K4" s="71" t="s">
        <v>189</v>
      </c>
      <c r="L4" s="71" t="s">
        <v>193</v>
      </c>
      <c r="M4" s="87">
        <v>400</v>
      </c>
      <c r="N4" s="72">
        <v>65</v>
      </c>
      <c r="O4" s="71">
        <f t="shared" ref="O4:O10" si="0">M4-N4</f>
        <v>335</v>
      </c>
      <c r="P4" s="91">
        <f t="shared" ref="P4:P10" si="1">ROUNDUP(O4,-2)</f>
        <v>400</v>
      </c>
      <c r="Q4" s="87"/>
      <c r="S4" s="91" t="s">
        <v>191</v>
      </c>
      <c r="T4" s="71">
        <v>500</v>
      </c>
      <c r="U4" s="71" t="s">
        <v>143</v>
      </c>
      <c r="V4" s="71">
        <v>500</v>
      </c>
      <c r="W4" s="71" t="s">
        <v>143</v>
      </c>
      <c r="X4" s="72">
        <v>400</v>
      </c>
      <c r="Y4" s="91" t="s">
        <v>187</v>
      </c>
      <c r="Z4" s="71" t="s">
        <v>189</v>
      </c>
      <c r="AA4" s="71" t="s">
        <v>193</v>
      </c>
      <c r="AB4" s="105">
        <f>COUNTIF($I$4:$I$10,X4)+COUNTIF($I$13:$I$25,X4)+COUNTIF($I$26:$I$39,X4)+COUNTIF($I$41:$I$43,X4)-AB11</f>
        <v>17</v>
      </c>
      <c r="AC4" s="74" t="s">
        <v>202</v>
      </c>
      <c r="AD4" s="116">
        <f>X4*AB4</f>
        <v>6800</v>
      </c>
    </row>
    <row r="5" spans="2:31" x14ac:dyDescent="0.4">
      <c r="B5" s="4">
        <v>2</v>
      </c>
      <c r="C5" s="87" t="s">
        <v>144</v>
      </c>
      <c r="D5" s="91" t="s">
        <v>191</v>
      </c>
      <c r="E5" s="71">
        <v>500</v>
      </c>
      <c r="F5" s="71" t="s">
        <v>143</v>
      </c>
      <c r="G5" s="71">
        <v>500</v>
      </c>
      <c r="H5" s="71" t="s">
        <v>143</v>
      </c>
      <c r="I5" s="72">
        <f t="shared" ref="I5:I10" si="2">P5</f>
        <v>400</v>
      </c>
      <c r="J5" s="91" t="s">
        <v>187</v>
      </c>
      <c r="K5" s="71" t="s">
        <v>189</v>
      </c>
      <c r="L5" s="71" t="s">
        <v>193</v>
      </c>
      <c r="M5" s="87">
        <v>400</v>
      </c>
      <c r="N5" s="72">
        <v>65</v>
      </c>
      <c r="O5" s="71">
        <f t="shared" si="0"/>
        <v>335</v>
      </c>
      <c r="P5" s="91">
        <f t="shared" si="1"/>
        <v>400</v>
      </c>
      <c r="Q5" s="87"/>
      <c r="S5" s="91" t="s">
        <v>191</v>
      </c>
      <c r="T5" s="71">
        <v>500</v>
      </c>
      <c r="U5" s="71" t="s">
        <v>143</v>
      </c>
      <c r="V5" s="71">
        <v>500</v>
      </c>
      <c r="W5" s="71" t="s">
        <v>143</v>
      </c>
      <c r="X5" s="72">
        <v>500</v>
      </c>
      <c r="Y5" s="91" t="s">
        <v>187</v>
      </c>
      <c r="Z5" s="71" t="s">
        <v>189</v>
      </c>
      <c r="AA5" s="71" t="s">
        <v>193</v>
      </c>
      <c r="AB5" s="105">
        <f>COUNTIF($I$4:$I$10,X5)+COUNTIF($I$13:$I$25,X5)+COUNTIF($I$26:$I$39,X5)+COUNTIF($I$41:$I$43,X5)-AB12</f>
        <v>6</v>
      </c>
      <c r="AC5" s="74" t="s">
        <v>202</v>
      </c>
      <c r="AD5" s="116">
        <f t="shared" ref="AD5:AD13" si="3">X5*AB5</f>
        <v>3000</v>
      </c>
    </row>
    <row r="6" spans="2:31" x14ac:dyDescent="0.4">
      <c r="B6" s="4">
        <v>3</v>
      </c>
      <c r="C6" s="87" t="s">
        <v>145</v>
      </c>
      <c r="D6" s="91" t="s">
        <v>191</v>
      </c>
      <c r="E6" s="71">
        <v>500</v>
      </c>
      <c r="F6" s="71" t="s">
        <v>143</v>
      </c>
      <c r="G6" s="71">
        <v>500</v>
      </c>
      <c r="H6" s="71" t="s">
        <v>143</v>
      </c>
      <c r="I6" s="72">
        <f t="shared" si="2"/>
        <v>400</v>
      </c>
      <c r="J6" s="91" t="s">
        <v>187</v>
      </c>
      <c r="K6" s="71" t="s">
        <v>189</v>
      </c>
      <c r="L6" s="71" t="s">
        <v>193</v>
      </c>
      <c r="M6" s="87">
        <v>450</v>
      </c>
      <c r="N6" s="72">
        <v>65</v>
      </c>
      <c r="O6" s="71">
        <f t="shared" si="0"/>
        <v>385</v>
      </c>
      <c r="P6" s="91">
        <f t="shared" si="1"/>
        <v>400</v>
      </c>
      <c r="Q6" s="87"/>
      <c r="S6" s="91" t="s">
        <v>191</v>
      </c>
      <c r="T6" s="71">
        <v>500</v>
      </c>
      <c r="U6" s="71" t="s">
        <v>143</v>
      </c>
      <c r="V6" s="71">
        <v>500</v>
      </c>
      <c r="W6" s="71" t="s">
        <v>143</v>
      </c>
      <c r="X6" s="72">
        <v>600</v>
      </c>
      <c r="Y6" s="91" t="s">
        <v>187</v>
      </c>
      <c r="Z6" s="71" t="s">
        <v>189</v>
      </c>
      <c r="AA6" s="71" t="s">
        <v>192</v>
      </c>
      <c r="AB6" s="105">
        <f>COUNTIF($I$4:$I$10,X6)+COUNTIF($I$13:$I$25,X6)+COUNTIF($I$26:$I$39,X6)+COUNTIF($I$41:$I$43,X6)-AB13</f>
        <v>4</v>
      </c>
      <c r="AC6" s="74" t="s">
        <v>202</v>
      </c>
      <c r="AD6" s="116">
        <f t="shared" si="3"/>
        <v>2400</v>
      </c>
      <c r="AE6" s="4"/>
    </row>
    <row r="7" spans="2:31" x14ac:dyDescent="0.4">
      <c r="B7" s="4">
        <v>4</v>
      </c>
      <c r="C7" s="87" t="s">
        <v>146</v>
      </c>
      <c r="D7" s="91" t="s">
        <v>191</v>
      </c>
      <c r="E7" s="71">
        <v>500</v>
      </c>
      <c r="F7" s="71" t="s">
        <v>143</v>
      </c>
      <c r="G7" s="71">
        <v>500</v>
      </c>
      <c r="H7" s="71" t="s">
        <v>143</v>
      </c>
      <c r="I7" s="72">
        <f t="shared" si="2"/>
        <v>500</v>
      </c>
      <c r="J7" s="91" t="s">
        <v>187</v>
      </c>
      <c r="K7" s="71" t="s">
        <v>189</v>
      </c>
      <c r="L7" s="71" t="s">
        <v>193</v>
      </c>
      <c r="M7" s="87">
        <v>550</v>
      </c>
      <c r="N7" s="72">
        <v>65</v>
      </c>
      <c r="O7" s="71">
        <f t="shared" si="0"/>
        <v>485</v>
      </c>
      <c r="P7" s="91">
        <f t="shared" si="1"/>
        <v>500</v>
      </c>
      <c r="Q7" s="87"/>
      <c r="S7" s="91" t="s">
        <v>191</v>
      </c>
      <c r="T7" s="71">
        <v>500</v>
      </c>
      <c r="U7" s="71" t="s">
        <v>143</v>
      </c>
      <c r="V7" s="71">
        <v>500</v>
      </c>
      <c r="W7" s="71" t="s">
        <v>143</v>
      </c>
      <c r="X7" s="72">
        <v>800</v>
      </c>
      <c r="Y7" s="91" t="s">
        <v>187</v>
      </c>
      <c r="Z7" s="71" t="s">
        <v>189</v>
      </c>
      <c r="AA7" s="71" t="s">
        <v>192</v>
      </c>
      <c r="AB7" s="105">
        <f>COUNTIF($I$4:$I$10,X7)+COUNTIF($I$13:$I$25,X7)+COUNTIF($I$26:$I$39,X7)+COUNTIF($I$41:$I$43,X7)</f>
        <v>1</v>
      </c>
      <c r="AC7" s="74" t="s">
        <v>202</v>
      </c>
      <c r="AD7" s="116">
        <f t="shared" si="3"/>
        <v>800</v>
      </c>
    </row>
    <row r="8" spans="2:31" x14ac:dyDescent="0.4">
      <c r="B8" s="4">
        <v>5</v>
      </c>
      <c r="C8" s="87" t="s">
        <v>147</v>
      </c>
      <c r="D8" s="91" t="s">
        <v>191</v>
      </c>
      <c r="E8" s="71">
        <v>500</v>
      </c>
      <c r="F8" s="71" t="s">
        <v>143</v>
      </c>
      <c r="G8" s="71">
        <v>500</v>
      </c>
      <c r="H8" s="71" t="s">
        <v>143</v>
      </c>
      <c r="I8" s="72">
        <f t="shared" si="2"/>
        <v>400</v>
      </c>
      <c r="J8" s="91" t="s">
        <v>191</v>
      </c>
      <c r="K8" s="71"/>
      <c r="L8" s="71" t="s">
        <v>193</v>
      </c>
      <c r="M8" s="87">
        <v>400</v>
      </c>
      <c r="N8" s="72">
        <v>65</v>
      </c>
      <c r="O8" s="71">
        <f t="shared" si="0"/>
        <v>335</v>
      </c>
      <c r="P8" s="91">
        <f t="shared" si="1"/>
        <v>400</v>
      </c>
      <c r="Q8" s="87"/>
      <c r="S8" s="91" t="s">
        <v>191</v>
      </c>
      <c r="T8" s="71">
        <v>500</v>
      </c>
      <c r="U8" s="71" t="s">
        <v>143</v>
      </c>
      <c r="V8" s="71">
        <v>500</v>
      </c>
      <c r="W8" s="71" t="s">
        <v>143</v>
      </c>
      <c r="X8" s="72">
        <v>900</v>
      </c>
      <c r="Y8" s="91" t="s">
        <v>187</v>
      </c>
      <c r="Z8" s="71" t="s">
        <v>189</v>
      </c>
      <c r="AA8" s="71" t="s">
        <v>192</v>
      </c>
      <c r="AB8" s="105">
        <f t="shared" ref="AB8:AB10" si="4">COUNTIF($I$4:$I$10,X8)+COUNTIF($I$13:$I$25,X8)+COUNTIF($I$26:$I$39,X8)+COUNTIF($I$41:$I$43,X8)</f>
        <v>1</v>
      </c>
      <c r="AC8" s="74" t="s">
        <v>202</v>
      </c>
      <c r="AD8" s="116">
        <f t="shared" si="3"/>
        <v>900</v>
      </c>
    </row>
    <row r="9" spans="2:31" x14ac:dyDescent="0.4">
      <c r="B9" s="4">
        <v>6</v>
      </c>
      <c r="C9" s="87" t="s">
        <v>148</v>
      </c>
      <c r="D9" s="91" t="s">
        <v>191</v>
      </c>
      <c r="E9" s="71">
        <v>500</v>
      </c>
      <c r="F9" s="71" t="s">
        <v>143</v>
      </c>
      <c r="G9" s="71">
        <v>500</v>
      </c>
      <c r="H9" s="71" t="s">
        <v>143</v>
      </c>
      <c r="I9" s="72">
        <f t="shared" si="2"/>
        <v>400</v>
      </c>
      <c r="J9" s="91" t="s">
        <v>191</v>
      </c>
      <c r="K9" s="71"/>
      <c r="L9" s="71" t="s">
        <v>193</v>
      </c>
      <c r="M9" s="87">
        <v>400</v>
      </c>
      <c r="N9" s="72">
        <v>65</v>
      </c>
      <c r="O9" s="71">
        <f t="shared" si="0"/>
        <v>335</v>
      </c>
      <c r="P9" s="91">
        <f t="shared" si="1"/>
        <v>400</v>
      </c>
      <c r="Q9" s="87"/>
      <c r="S9" s="91" t="s">
        <v>191</v>
      </c>
      <c r="T9" s="71">
        <v>500</v>
      </c>
      <c r="U9" s="71" t="s">
        <v>143</v>
      </c>
      <c r="V9" s="71">
        <v>500</v>
      </c>
      <c r="W9" s="71" t="s">
        <v>143</v>
      </c>
      <c r="X9" s="72">
        <v>1000</v>
      </c>
      <c r="Y9" s="91" t="s">
        <v>187</v>
      </c>
      <c r="Z9" s="71" t="s">
        <v>189</v>
      </c>
      <c r="AA9" s="71" t="s">
        <v>192</v>
      </c>
      <c r="AB9" s="105">
        <f t="shared" si="4"/>
        <v>1</v>
      </c>
      <c r="AC9" s="74" t="s">
        <v>202</v>
      </c>
      <c r="AD9" s="116">
        <f t="shared" si="3"/>
        <v>1000</v>
      </c>
    </row>
    <row r="10" spans="2:31" x14ac:dyDescent="0.4">
      <c r="B10" s="4">
        <v>7</v>
      </c>
      <c r="C10" s="87" t="s">
        <v>149</v>
      </c>
      <c r="D10" s="91" t="s">
        <v>191</v>
      </c>
      <c r="E10" s="71">
        <v>500</v>
      </c>
      <c r="F10" s="71" t="s">
        <v>143</v>
      </c>
      <c r="G10" s="71">
        <v>500</v>
      </c>
      <c r="H10" s="71" t="s">
        <v>143</v>
      </c>
      <c r="I10" s="72">
        <f t="shared" si="2"/>
        <v>500</v>
      </c>
      <c r="J10" s="91" t="s">
        <v>187</v>
      </c>
      <c r="K10" s="71" t="s">
        <v>189</v>
      </c>
      <c r="L10" s="71" t="s">
        <v>193</v>
      </c>
      <c r="M10" s="87">
        <v>550</v>
      </c>
      <c r="N10" s="72">
        <v>65</v>
      </c>
      <c r="O10" s="71">
        <f t="shared" si="0"/>
        <v>485</v>
      </c>
      <c r="P10" s="91">
        <f t="shared" si="1"/>
        <v>500</v>
      </c>
      <c r="Q10" s="87"/>
      <c r="S10" s="91" t="s">
        <v>191</v>
      </c>
      <c r="T10" s="71">
        <v>500</v>
      </c>
      <c r="U10" s="71" t="s">
        <v>143</v>
      </c>
      <c r="V10" s="71">
        <v>500</v>
      </c>
      <c r="W10" s="71" t="s">
        <v>143</v>
      </c>
      <c r="X10" s="72">
        <v>1200</v>
      </c>
      <c r="Y10" s="91" t="s">
        <v>187</v>
      </c>
      <c r="Z10" s="71" t="s">
        <v>189</v>
      </c>
      <c r="AA10" s="71" t="s">
        <v>192</v>
      </c>
      <c r="AB10" s="105">
        <f t="shared" si="4"/>
        <v>2</v>
      </c>
      <c r="AC10" s="74" t="s">
        <v>202</v>
      </c>
      <c r="AD10" s="116">
        <f t="shared" si="3"/>
        <v>2400</v>
      </c>
    </row>
    <row r="11" spans="2:31" x14ac:dyDescent="0.4">
      <c r="B11" s="4">
        <v>8</v>
      </c>
      <c r="C11" s="87" t="s">
        <v>150</v>
      </c>
      <c r="D11" s="91" t="s">
        <v>197</v>
      </c>
      <c r="E11" s="308" t="s">
        <v>190</v>
      </c>
      <c r="F11" s="309"/>
      <c r="G11" s="310"/>
      <c r="H11" s="102"/>
      <c r="I11" s="72">
        <v>600</v>
      </c>
      <c r="J11" s="91" t="s">
        <v>200</v>
      </c>
      <c r="K11" s="71"/>
      <c r="L11" s="71"/>
      <c r="M11" s="87">
        <v>600</v>
      </c>
      <c r="N11" s="72"/>
      <c r="O11" s="71"/>
      <c r="P11" s="91"/>
      <c r="Q11" s="87"/>
      <c r="S11" s="91" t="s">
        <v>191</v>
      </c>
      <c r="T11" s="71">
        <v>500</v>
      </c>
      <c r="U11" s="71" t="s">
        <v>143</v>
      </c>
      <c r="V11" s="71">
        <v>500</v>
      </c>
      <c r="W11" s="71" t="s">
        <v>143</v>
      </c>
      <c r="X11" s="72">
        <v>400</v>
      </c>
      <c r="Y11" s="91" t="s">
        <v>191</v>
      </c>
      <c r="Z11" s="71"/>
      <c r="AA11" s="71" t="s">
        <v>193</v>
      </c>
      <c r="AB11" s="105">
        <f>COUNTIF($I$8:$I$9,X11)+COUNTIF($I$19,X11)+COUNTIF($I$36:$I$37,X11)</f>
        <v>2</v>
      </c>
      <c r="AC11" s="74" t="s">
        <v>202</v>
      </c>
      <c r="AD11" s="116">
        <f t="shared" si="3"/>
        <v>800</v>
      </c>
    </row>
    <row r="12" spans="2:31" x14ac:dyDescent="0.4">
      <c r="B12" s="4">
        <v>9</v>
      </c>
      <c r="C12" s="87" t="s">
        <v>151</v>
      </c>
      <c r="D12" s="91" t="s">
        <v>197</v>
      </c>
      <c r="E12" s="308" t="s">
        <v>190</v>
      </c>
      <c r="F12" s="309"/>
      <c r="G12" s="310"/>
      <c r="H12" s="102"/>
      <c r="I12" s="72">
        <v>600</v>
      </c>
      <c r="J12" s="91" t="s">
        <v>200</v>
      </c>
      <c r="K12" s="71"/>
      <c r="L12" s="71"/>
      <c r="M12" s="87">
        <v>600</v>
      </c>
      <c r="N12" s="72"/>
      <c r="O12" s="71"/>
      <c r="P12" s="91"/>
      <c r="Q12" s="87"/>
      <c r="S12" s="91" t="s">
        <v>191</v>
      </c>
      <c r="T12" s="71">
        <v>500</v>
      </c>
      <c r="U12" s="71" t="s">
        <v>143</v>
      </c>
      <c r="V12" s="71">
        <v>500</v>
      </c>
      <c r="W12" s="71" t="s">
        <v>143</v>
      </c>
      <c r="X12" s="72">
        <v>500</v>
      </c>
      <c r="Y12" s="91" t="s">
        <v>191</v>
      </c>
      <c r="Z12" s="71"/>
      <c r="AA12" s="71" t="s">
        <v>194</v>
      </c>
      <c r="AB12" s="105">
        <f>COUNTIF($I$8:$I$9,X12)+COUNTIF($I$19,X12)+COUNTIF($I$36:$I$37,X12)</f>
        <v>2</v>
      </c>
      <c r="AC12" s="74" t="s">
        <v>202</v>
      </c>
      <c r="AD12" s="116">
        <f t="shared" si="3"/>
        <v>1000</v>
      </c>
    </row>
    <row r="13" spans="2:31" x14ac:dyDescent="0.4">
      <c r="B13" s="4">
        <v>10</v>
      </c>
      <c r="C13" s="87" t="s">
        <v>152</v>
      </c>
      <c r="D13" s="91" t="s">
        <v>191</v>
      </c>
      <c r="E13" s="71">
        <v>500</v>
      </c>
      <c r="F13" s="71" t="s">
        <v>143</v>
      </c>
      <c r="G13" s="71">
        <v>500</v>
      </c>
      <c r="H13" s="71" t="s">
        <v>143</v>
      </c>
      <c r="I13" s="72">
        <f t="shared" ref="I13:I24" si="5">P13</f>
        <v>400</v>
      </c>
      <c r="J13" s="91" t="s">
        <v>187</v>
      </c>
      <c r="K13" s="71" t="s">
        <v>189</v>
      </c>
      <c r="L13" s="71" t="s">
        <v>193</v>
      </c>
      <c r="M13" s="87">
        <v>450</v>
      </c>
      <c r="N13" s="72">
        <v>65</v>
      </c>
      <c r="O13" s="71">
        <f t="shared" ref="O13:O24" si="6">M13-N13</f>
        <v>385</v>
      </c>
      <c r="P13" s="91">
        <f t="shared" ref="P13:P25" si="7">ROUNDUP(O13,-2)</f>
        <v>400</v>
      </c>
      <c r="Q13" s="87"/>
      <c r="S13" s="91" t="s">
        <v>191</v>
      </c>
      <c r="T13" s="71">
        <v>500</v>
      </c>
      <c r="U13" s="71" t="s">
        <v>143</v>
      </c>
      <c r="V13" s="71">
        <v>500</v>
      </c>
      <c r="W13" s="71" t="s">
        <v>143</v>
      </c>
      <c r="X13" s="72">
        <v>600</v>
      </c>
      <c r="Y13" s="91" t="s">
        <v>191</v>
      </c>
      <c r="Z13" s="71"/>
      <c r="AA13" s="71" t="s">
        <v>195</v>
      </c>
      <c r="AB13" s="105">
        <f>COUNTIF($I$8:$I$9,X13)+COUNTIF($I$19,X13)+COUNTIF($I$36:$I$37,X13)</f>
        <v>1</v>
      </c>
      <c r="AC13" s="74" t="s">
        <v>202</v>
      </c>
      <c r="AD13" s="116">
        <f t="shared" si="3"/>
        <v>600</v>
      </c>
    </row>
    <row r="14" spans="2:31" x14ac:dyDescent="0.4">
      <c r="B14" s="4">
        <v>11</v>
      </c>
      <c r="C14" s="87" t="s">
        <v>153</v>
      </c>
      <c r="D14" s="91" t="s">
        <v>191</v>
      </c>
      <c r="E14" s="71">
        <v>500</v>
      </c>
      <c r="F14" s="71" t="s">
        <v>143</v>
      </c>
      <c r="G14" s="71">
        <v>500</v>
      </c>
      <c r="H14" s="71" t="s">
        <v>143</v>
      </c>
      <c r="I14" s="72">
        <f t="shared" si="5"/>
        <v>500</v>
      </c>
      <c r="J14" s="91" t="s">
        <v>187</v>
      </c>
      <c r="K14" s="71" t="s">
        <v>189</v>
      </c>
      <c r="L14" s="71" t="s">
        <v>193</v>
      </c>
      <c r="M14" s="87">
        <v>500</v>
      </c>
      <c r="N14" s="72">
        <v>65</v>
      </c>
      <c r="O14" s="71">
        <f t="shared" si="6"/>
        <v>435</v>
      </c>
      <c r="P14" s="91">
        <f t="shared" si="7"/>
        <v>500</v>
      </c>
      <c r="Q14" s="87"/>
      <c r="S14" s="117" t="s">
        <v>216</v>
      </c>
      <c r="T14" s="93"/>
      <c r="U14" s="93"/>
      <c r="V14" s="93"/>
      <c r="W14" s="93"/>
      <c r="X14" s="101"/>
      <c r="Y14" s="92"/>
      <c r="Z14" s="93"/>
      <c r="AA14" s="93"/>
      <c r="AB14" s="105"/>
      <c r="AC14" s="74"/>
      <c r="AD14" s="116"/>
    </row>
    <row r="15" spans="2:31" ht="18.75" customHeight="1" x14ac:dyDescent="0.4">
      <c r="B15" s="4">
        <v>12</v>
      </c>
      <c r="C15" s="87" t="s">
        <v>154</v>
      </c>
      <c r="D15" s="91" t="s">
        <v>191</v>
      </c>
      <c r="E15" s="71">
        <v>500</v>
      </c>
      <c r="F15" s="71" t="s">
        <v>143</v>
      </c>
      <c r="G15" s="71">
        <v>500</v>
      </c>
      <c r="H15" s="71" t="s">
        <v>143</v>
      </c>
      <c r="I15" s="72">
        <f t="shared" si="5"/>
        <v>500</v>
      </c>
      <c r="J15" s="91" t="s">
        <v>187</v>
      </c>
      <c r="K15" s="71" t="s">
        <v>189</v>
      </c>
      <c r="L15" s="71" t="s">
        <v>193</v>
      </c>
      <c r="M15" s="87">
        <v>550</v>
      </c>
      <c r="N15" s="72">
        <v>65</v>
      </c>
      <c r="O15" s="71">
        <f t="shared" si="6"/>
        <v>485</v>
      </c>
      <c r="P15" s="91">
        <f t="shared" si="7"/>
        <v>500</v>
      </c>
      <c r="Q15" s="87"/>
      <c r="S15" s="297" t="s">
        <v>219</v>
      </c>
      <c r="T15" s="296">
        <v>500</v>
      </c>
      <c r="U15" s="296" t="s">
        <v>143</v>
      </c>
      <c r="V15" s="296">
        <v>500</v>
      </c>
      <c r="W15" s="296" t="s">
        <v>143</v>
      </c>
      <c r="X15" s="300">
        <v>500</v>
      </c>
      <c r="Y15" s="302" t="s">
        <v>218</v>
      </c>
      <c r="Z15" s="303"/>
      <c r="AA15" s="303"/>
      <c r="AB15" s="303"/>
      <c r="AC15" s="304"/>
      <c r="AD15" s="271">
        <f>ROUND(SUM(AD4:AD13)/SUM(AB4:AB13),0)</f>
        <v>532</v>
      </c>
    </row>
    <row r="16" spans="2:31" x14ac:dyDescent="0.4">
      <c r="B16" s="4">
        <v>13</v>
      </c>
      <c r="C16" s="87" t="s">
        <v>155</v>
      </c>
      <c r="D16" s="91" t="s">
        <v>191</v>
      </c>
      <c r="E16" s="71">
        <v>500</v>
      </c>
      <c r="F16" s="71" t="s">
        <v>143</v>
      </c>
      <c r="G16" s="71">
        <v>500</v>
      </c>
      <c r="H16" s="71" t="s">
        <v>143</v>
      </c>
      <c r="I16" s="72">
        <f t="shared" si="5"/>
        <v>600</v>
      </c>
      <c r="J16" s="91" t="s">
        <v>187</v>
      </c>
      <c r="K16" s="71" t="s">
        <v>189</v>
      </c>
      <c r="L16" s="71" t="s">
        <v>193</v>
      </c>
      <c r="M16" s="87">
        <v>600</v>
      </c>
      <c r="N16" s="72">
        <v>65</v>
      </c>
      <c r="O16" s="71">
        <f t="shared" si="6"/>
        <v>535</v>
      </c>
      <c r="P16" s="91">
        <f t="shared" si="7"/>
        <v>600</v>
      </c>
      <c r="Q16" s="87"/>
      <c r="S16" s="298"/>
      <c r="T16" s="299"/>
      <c r="U16" s="299"/>
      <c r="V16" s="299"/>
      <c r="W16" s="299"/>
      <c r="X16" s="301"/>
      <c r="Y16" s="305"/>
      <c r="Z16" s="306"/>
      <c r="AA16" s="306"/>
      <c r="AB16" s="306"/>
      <c r="AC16" s="307"/>
      <c r="AD16" s="273"/>
    </row>
    <row r="17" spans="2:30" ht="19.5" thickBot="1" x14ac:dyDescent="0.45">
      <c r="B17" s="4">
        <v>14</v>
      </c>
      <c r="C17" s="87" t="s">
        <v>156</v>
      </c>
      <c r="D17" s="91" t="s">
        <v>191</v>
      </c>
      <c r="E17" s="71">
        <v>500</v>
      </c>
      <c r="F17" s="71" t="s">
        <v>143</v>
      </c>
      <c r="G17" s="71">
        <v>500</v>
      </c>
      <c r="H17" s="71" t="s">
        <v>143</v>
      </c>
      <c r="I17" s="72">
        <f t="shared" si="5"/>
        <v>500</v>
      </c>
      <c r="J17" s="91" t="s">
        <v>187</v>
      </c>
      <c r="K17" s="71" t="s">
        <v>189</v>
      </c>
      <c r="L17" s="71" t="s">
        <v>193</v>
      </c>
      <c r="M17" s="87">
        <v>550</v>
      </c>
      <c r="N17" s="72">
        <v>65</v>
      </c>
      <c r="O17" s="71">
        <f t="shared" si="6"/>
        <v>485</v>
      </c>
      <c r="P17" s="91">
        <f t="shared" si="7"/>
        <v>500</v>
      </c>
      <c r="Q17" s="87"/>
      <c r="S17" s="123" t="s">
        <v>220</v>
      </c>
      <c r="T17" s="124"/>
      <c r="U17" s="124"/>
      <c r="V17" s="124"/>
      <c r="W17" s="124"/>
      <c r="X17" s="125"/>
      <c r="Y17" s="123"/>
      <c r="Z17" s="124"/>
      <c r="AA17" s="124"/>
      <c r="AB17" s="122">
        <f>SUM(AB4:AB13)</f>
        <v>37</v>
      </c>
      <c r="AC17" s="125" t="s">
        <v>213</v>
      </c>
      <c r="AD17" s="126"/>
    </row>
    <row r="18" spans="2:30" ht="19.5" thickTop="1" x14ac:dyDescent="0.4">
      <c r="B18" s="4">
        <v>15</v>
      </c>
      <c r="C18" s="87" t="s">
        <v>157</v>
      </c>
      <c r="D18" s="91" t="s">
        <v>191</v>
      </c>
      <c r="E18" s="71">
        <v>500</v>
      </c>
      <c r="F18" s="71" t="s">
        <v>143</v>
      </c>
      <c r="G18" s="71">
        <v>500</v>
      </c>
      <c r="H18" s="71" t="s">
        <v>143</v>
      </c>
      <c r="I18" s="72">
        <f t="shared" si="5"/>
        <v>600</v>
      </c>
      <c r="J18" s="91" t="s">
        <v>187</v>
      </c>
      <c r="K18" s="71" t="s">
        <v>189</v>
      </c>
      <c r="L18" s="71" t="s">
        <v>193</v>
      </c>
      <c r="M18" s="87">
        <v>600</v>
      </c>
      <c r="N18" s="72">
        <v>65</v>
      </c>
      <c r="O18" s="71">
        <f t="shared" si="6"/>
        <v>535</v>
      </c>
      <c r="P18" s="91">
        <f t="shared" si="7"/>
        <v>600</v>
      </c>
      <c r="Q18" s="87"/>
      <c r="S18" s="107" t="s">
        <v>197</v>
      </c>
      <c r="T18" s="299" t="s">
        <v>190</v>
      </c>
      <c r="U18" s="299"/>
      <c r="V18" s="299"/>
      <c r="W18" s="299"/>
      <c r="X18" s="108">
        <v>600</v>
      </c>
      <c r="Y18" s="107" t="s">
        <v>200</v>
      </c>
      <c r="Z18" s="106"/>
      <c r="AA18" s="106"/>
      <c r="AB18" s="119">
        <f>COUNTIF(I11:I12,X18)+COUNTIF(I25,X18)+COUNTIF(I40,X18)</f>
        <v>2</v>
      </c>
      <c r="AC18" s="120" t="s">
        <v>202</v>
      </c>
      <c r="AD18" s="121"/>
    </row>
    <row r="19" spans="2:30" x14ac:dyDescent="0.4">
      <c r="B19" s="4">
        <v>16</v>
      </c>
      <c r="C19" s="87" t="s">
        <v>158</v>
      </c>
      <c r="D19" s="91" t="s">
        <v>191</v>
      </c>
      <c r="E19" s="71">
        <v>500</v>
      </c>
      <c r="F19" s="71" t="s">
        <v>143</v>
      </c>
      <c r="G19" s="71">
        <v>500</v>
      </c>
      <c r="H19" s="71" t="s">
        <v>143</v>
      </c>
      <c r="I19" s="72">
        <f t="shared" si="5"/>
        <v>500</v>
      </c>
      <c r="J19" s="91" t="s">
        <v>191</v>
      </c>
      <c r="K19" s="71"/>
      <c r="L19" s="71" t="s">
        <v>193</v>
      </c>
      <c r="M19" s="87">
        <v>550</v>
      </c>
      <c r="N19" s="72">
        <v>65</v>
      </c>
      <c r="O19" s="71">
        <f t="shared" si="6"/>
        <v>485</v>
      </c>
      <c r="P19" s="91">
        <f t="shared" si="7"/>
        <v>500</v>
      </c>
      <c r="Q19" s="87"/>
      <c r="S19" s="91" t="s">
        <v>197</v>
      </c>
      <c r="T19" s="311" t="s">
        <v>190</v>
      </c>
      <c r="U19" s="311"/>
      <c r="V19" s="311"/>
      <c r="W19" s="311"/>
      <c r="X19" s="72">
        <v>400</v>
      </c>
      <c r="Y19" s="91" t="s">
        <v>200</v>
      </c>
      <c r="Z19" s="71"/>
      <c r="AA19" s="71"/>
      <c r="AB19" s="105">
        <f>COUNTIF(I11:I12,X19)+COUNTIF(I25,X19)+COUNTIF(I40,X19)</f>
        <v>1</v>
      </c>
      <c r="AC19" s="74" t="s">
        <v>202</v>
      </c>
      <c r="AD19" s="116"/>
    </row>
    <row r="20" spans="2:30" x14ac:dyDescent="0.4">
      <c r="B20" s="4">
        <v>17</v>
      </c>
      <c r="C20" s="87" t="s">
        <v>159</v>
      </c>
      <c r="D20" s="91" t="s">
        <v>191</v>
      </c>
      <c r="E20" s="71">
        <v>500</v>
      </c>
      <c r="F20" s="71" t="s">
        <v>143</v>
      </c>
      <c r="G20" s="71">
        <v>500</v>
      </c>
      <c r="H20" s="71" t="s">
        <v>143</v>
      </c>
      <c r="I20" s="72">
        <f t="shared" si="5"/>
        <v>400</v>
      </c>
      <c r="J20" s="91" t="s">
        <v>187</v>
      </c>
      <c r="K20" s="71" t="s">
        <v>189</v>
      </c>
      <c r="L20" s="71" t="s">
        <v>193</v>
      </c>
      <c r="M20" s="87">
        <v>450</v>
      </c>
      <c r="N20" s="72">
        <v>65</v>
      </c>
      <c r="O20" s="71">
        <f t="shared" si="6"/>
        <v>385</v>
      </c>
      <c r="P20" s="91">
        <f t="shared" si="7"/>
        <v>400</v>
      </c>
      <c r="Q20" s="87"/>
      <c r="AA20" s="104"/>
    </row>
    <row r="21" spans="2:30" x14ac:dyDescent="0.4">
      <c r="B21" s="4">
        <v>18</v>
      </c>
      <c r="C21" s="87" t="s">
        <v>160</v>
      </c>
      <c r="D21" s="91" t="s">
        <v>191</v>
      </c>
      <c r="E21" s="71">
        <v>500</v>
      </c>
      <c r="F21" s="71" t="s">
        <v>143</v>
      </c>
      <c r="G21" s="71">
        <v>500</v>
      </c>
      <c r="H21" s="71" t="s">
        <v>143</v>
      </c>
      <c r="I21" s="72">
        <f t="shared" si="5"/>
        <v>400</v>
      </c>
      <c r="J21" s="91" t="s">
        <v>187</v>
      </c>
      <c r="K21" s="71" t="s">
        <v>189</v>
      </c>
      <c r="L21" s="71" t="s">
        <v>193</v>
      </c>
      <c r="M21" s="87">
        <v>450</v>
      </c>
      <c r="N21" s="72">
        <v>65</v>
      </c>
      <c r="O21" s="71">
        <f t="shared" si="6"/>
        <v>385</v>
      </c>
      <c r="P21" s="91">
        <f t="shared" si="7"/>
        <v>400</v>
      </c>
      <c r="Q21" s="87"/>
    </row>
    <row r="22" spans="2:30" ht="18.75" customHeight="1" x14ac:dyDescent="0.4">
      <c r="B22" s="4">
        <v>19</v>
      </c>
      <c r="C22" s="87" t="s">
        <v>161</v>
      </c>
      <c r="D22" s="91" t="s">
        <v>191</v>
      </c>
      <c r="E22" s="71">
        <v>500</v>
      </c>
      <c r="F22" s="71" t="s">
        <v>143</v>
      </c>
      <c r="G22" s="71">
        <v>500</v>
      </c>
      <c r="H22" s="71" t="s">
        <v>143</v>
      </c>
      <c r="I22" s="72">
        <f t="shared" si="5"/>
        <v>500</v>
      </c>
      <c r="J22" s="91" t="s">
        <v>187</v>
      </c>
      <c r="K22" s="71" t="s">
        <v>189</v>
      </c>
      <c r="L22" s="71" t="s">
        <v>193</v>
      </c>
      <c r="M22" s="87">
        <v>550</v>
      </c>
      <c r="N22" s="72">
        <v>65</v>
      </c>
      <c r="O22" s="71">
        <f t="shared" si="6"/>
        <v>485</v>
      </c>
      <c r="P22" s="91">
        <f t="shared" si="7"/>
        <v>500</v>
      </c>
      <c r="Q22" s="87"/>
    </row>
    <row r="23" spans="2:30" x14ac:dyDescent="0.4">
      <c r="B23" s="4">
        <v>20</v>
      </c>
      <c r="C23" s="87" t="s">
        <v>162</v>
      </c>
      <c r="D23" s="91" t="s">
        <v>191</v>
      </c>
      <c r="E23" s="71">
        <v>500</v>
      </c>
      <c r="F23" s="71" t="s">
        <v>143</v>
      </c>
      <c r="G23" s="71">
        <v>500</v>
      </c>
      <c r="H23" s="71" t="s">
        <v>143</v>
      </c>
      <c r="I23" s="72">
        <f t="shared" si="5"/>
        <v>600</v>
      </c>
      <c r="J23" s="91" t="s">
        <v>187</v>
      </c>
      <c r="K23" s="71" t="s">
        <v>189</v>
      </c>
      <c r="L23" s="71" t="s">
        <v>193</v>
      </c>
      <c r="M23" s="87">
        <v>600</v>
      </c>
      <c r="N23" s="72">
        <v>65</v>
      </c>
      <c r="O23" s="71">
        <f t="shared" si="6"/>
        <v>535</v>
      </c>
      <c r="P23" s="91">
        <f t="shared" si="7"/>
        <v>600</v>
      </c>
      <c r="Q23" s="87"/>
      <c r="T23" s="314" t="s">
        <v>212</v>
      </c>
      <c r="U23" s="314"/>
      <c r="V23" s="314"/>
      <c r="W23" s="314"/>
      <c r="X23" s="314"/>
      <c r="Y23" s="314"/>
      <c r="Z23" s="314"/>
      <c r="AA23" s="314"/>
      <c r="AB23" s="314"/>
      <c r="AC23" s="314"/>
    </row>
    <row r="24" spans="2:30" x14ac:dyDescent="0.4">
      <c r="B24" s="4">
        <v>21</v>
      </c>
      <c r="C24" s="87" t="s">
        <v>163</v>
      </c>
      <c r="D24" s="91" t="s">
        <v>191</v>
      </c>
      <c r="E24" s="71">
        <v>500</v>
      </c>
      <c r="F24" s="71" t="s">
        <v>143</v>
      </c>
      <c r="G24" s="71">
        <v>500</v>
      </c>
      <c r="H24" s="71" t="s">
        <v>143</v>
      </c>
      <c r="I24" s="72">
        <f t="shared" si="5"/>
        <v>600</v>
      </c>
      <c r="J24" s="91" t="s">
        <v>187</v>
      </c>
      <c r="K24" s="71" t="s">
        <v>189</v>
      </c>
      <c r="L24" s="71" t="s">
        <v>193</v>
      </c>
      <c r="M24" s="87">
        <v>650</v>
      </c>
      <c r="N24" s="72">
        <v>65</v>
      </c>
      <c r="O24" s="71">
        <f t="shared" si="6"/>
        <v>585</v>
      </c>
      <c r="P24" s="91">
        <f t="shared" si="7"/>
        <v>600</v>
      </c>
      <c r="Q24" s="87"/>
      <c r="T24" s="314"/>
      <c r="U24" s="314"/>
      <c r="V24" s="314"/>
      <c r="W24" s="314"/>
      <c r="X24" s="314"/>
      <c r="Y24" s="314"/>
      <c r="Z24" s="314"/>
      <c r="AA24" s="314"/>
      <c r="AB24" s="314"/>
      <c r="AC24" s="314"/>
    </row>
    <row r="25" spans="2:30" x14ac:dyDescent="0.4">
      <c r="B25" s="4">
        <v>22</v>
      </c>
      <c r="C25" s="87" t="s">
        <v>164</v>
      </c>
      <c r="D25" s="92" t="s">
        <v>191</v>
      </c>
      <c r="E25" s="93">
        <v>500</v>
      </c>
      <c r="F25" s="93" t="s">
        <v>143</v>
      </c>
      <c r="G25" s="93">
        <v>500</v>
      </c>
      <c r="H25" s="93" t="s">
        <v>143</v>
      </c>
      <c r="I25" s="101">
        <f t="shared" ref="I25" si="8">P25</f>
        <v>800</v>
      </c>
      <c r="J25" s="92" t="s">
        <v>187</v>
      </c>
      <c r="K25" s="93" t="s">
        <v>189</v>
      </c>
      <c r="L25" s="93" t="s">
        <v>193</v>
      </c>
      <c r="M25" s="99">
        <v>800</v>
      </c>
      <c r="N25" s="101">
        <v>65</v>
      </c>
      <c r="O25" s="93">
        <f t="shared" ref="O25" si="9">M25-N25</f>
        <v>735</v>
      </c>
      <c r="P25" s="92">
        <f t="shared" si="7"/>
        <v>800</v>
      </c>
      <c r="Q25" s="99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</row>
    <row r="26" spans="2:30" ht="18.75" customHeight="1" x14ac:dyDescent="0.4">
      <c r="B26" s="4">
        <v>23</v>
      </c>
      <c r="C26" s="87" t="s">
        <v>165</v>
      </c>
      <c r="D26" s="91" t="s">
        <v>191</v>
      </c>
      <c r="E26" s="71">
        <v>500</v>
      </c>
      <c r="F26" s="71" t="s">
        <v>143</v>
      </c>
      <c r="G26" s="71">
        <v>500</v>
      </c>
      <c r="H26" s="71" t="s">
        <v>143</v>
      </c>
      <c r="I26" s="72">
        <f t="shared" ref="I26:I39" si="10">P26</f>
        <v>400</v>
      </c>
      <c r="J26" s="91" t="s">
        <v>187</v>
      </c>
      <c r="K26" s="71" t="s">
        <v>189</v>
      </c>
      <c r="L26" s="71" t="s">
        <v>193</v>
      </c>
      <c r="M26" s="87">
        <v>450</v>
      </c>
      <c r="N26" s="72">
        <v>65</v>
      </c>
      <c r="O26" s="71">
        <f t="shared" ref="O26:O39" si="11">M26-N26</f>
        <v>385</v>
      </c>
      <c r="P26" s="91">
        <f t="shared" ref="P26:P39" si="12">ROUNDUP(O26,-2)</f>
        <v>400</v>
      </c>
      <c r="Q26" s="87"/>
      <c r="T26" s="314"/>
      <c r="U26" s="314"/>
      <c r="V26" s="314"/>
      <c r="W26" s="314"/>
      <c r="X26" s="314"/>
      <c r="Y26" s="314"/>
      <c r="Z26" s="314"/>
      <c r="AA26" s="314"/>
      <c r="AB26" s="314"/>
      <c r="AC26" s="314"/>
    </row>
    <row r="27" spans="2:30" x14ac:dyDescent="0.4">
      <c r="B27" s="4">
        <v>24</v>
      </c>
      <c r="C27" s="87" t="s">
        <v>166</v>
      </c>
      <c r="D27" s="91" t="s">
        <v>191</v>
      </c>
      <c r="E27" s="71">
        <v>500</v>
      </c>
      <c r="F27" s="71" t="s">
        <v>143</v>
      </c>
      <c r="G27" s="71">
        <v>500</v>
      </c>
      <c r="H27" s="71" t="s">
        <v>143</v>
      </c>
      <c r="I27" s="72">
        <f t="shared" si="10"/>
        <v>400</v>
      </c>
      <c r="J27" s="91" t="s">
        <v>187</v>
      </c>
      <c r="K27" s="71" t="s">
        <v>189</v>
      </c>
      <c r="L27" s="71" t="s">
        <v>193</v>
      </c>
      <c r="M27" s="87">
        <v>400</v>
      </c>
      <c r="N27" s="72">
        <v>65</v>
      </c>
      <c r="O27" s="71">
        <f t="shared" si="11"/>
        <v>335</v>
      </c>
      <c r="P27" s="91">
        <f t="shared" si="12"/>
        <v>400</v>
      </c>
      <c r="Q27" s="87"/>
      <c r="T27" s="315" t="s">
        <v>208</v>
      </c>
      <c r="U27" s="315"/>
      <c r="V27" s="315"/>
      <c r="W27" s="315"/>
      <c r="X27" s="315"/>
      <c r="Y27" s="315"/>
      <c r="Z27" s="315"/>
      <c r="AA27" s="315"/>
      <c r="AB27" s="315"/>
      <c r="AC27" s="315"/>
    </row>
    <row r="28" spans="2:30" x14ac:dyDescent="0.4">
      <c r="B28" s="4">
        <v>25</v>
      </c>
      <c r="C28" s="87" t="s">
        <v>167</v>
      </c>
      <c r="D28" s="91" t="s">
        <v>191</v>
      </c>
      <c r="E28" s="71">
        <v>500</v>
      </c>
      <c r="F28" s="71" t="s">
        <v>143</v>
      </c>
      <c r="G28" s="71">
        <v>500</v>
      </c>
      <c r="H28" s="71" t="s">
        <v>143</v>
      </c>
      <c r="I28" s="72">
        <f t="shared" si="10"/>
        <v>400</v>
      </c>
      <c r="J28" s="91" t="s">
        <v>187</v>
      </c>
      <c r="K28" s="71" t="s">
        <v>189</v>
      </c>
      <c r="L28" s="71" t="s">
        <v>193</v>
      </c>
      <c r="M28" s="87">
        <v>400</v>
      </c>
      <c r="N28" s="72">
        <v>65</v>
      </c>
      <c r="O28" s="71">
        <f t="shared" si="11"/>
        <v>335</v>
      </c>
      <c r="P28" s="91">
        <f t="shared" si="12"/>
        <v>400</v>
      </c>
      <c r="Q28" s="87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</row>
    <row r="29" spans="2:30" x14ac:dyDescent="0.4">
      <c r="B29" s="4">
        <v>26</v>
      </c>
      <c r="C29" s="87" t="s">
        <v>168</v>
      </c>
      <c r="D29" s="91" t="s">
        <v>191</v>
      </c>
      <c r="E29" s="71">
        <v>500</v>
      </c>
      <c r="F29" s="71" t="s">
        <v>143</v>
      </c>
      <c r="G29" s="71">
        <v>500</v>
      </c>
      <c r="H29" s="71" t="s">
        <v>143</v>
      </c>
      <c r="I29" s="72">
        <f t="shared" si="10"/>
        <v>900</v>
      </c>
      <c r="J29" s="91" t="s">
        <v>187</v>
      </c>
      <c r="K29" s="71" t="s">
        <v>189</v>
      </c>
      <c r="L29" s="71" t="s">
        <v>193</v>
      </c>
      <c r="M29" s="87">
        <v>900</v>
      </c>
      <c r="N29" s="72">
        <v>65</v>
      </c>
      <c r="O29" s="71">
        <f t="shared" si="11"/>
        <v>835</v>
      </c>
      <c r="P29" s="91">
        <f t="shared" si="12"/>
        <v>900</v>
      </c>
      <c r="Q29" s="87"/>
    </row>
    <row r="30" spans="2:30" x14ac:dyDescent="0.4">
      <c r="B30" s="4">
        <v>27</v>
      </c>
      <c r="C30" s="87" t="s">
        <v>169</v>
      </c>
      <c r="D30" s="91" t="s">
        <v>191</v>
      </c>
      <c r="E30" s="71">
        <v>500</v>
      </c>
      <c r="F30" s="71" t="s">
        <v>143</v>
      </c>
      <c r="G30" s="71">
        <v>500</v>
      </c>
      <c r="H30" s="71" t="s">
        <v>143</v>
      </c>
      <c r="I30" s="72">
        <f t="shared" si="10"/>
        <v>1200</v>
      </c>
      <c r="J30" s="91" t="s">
        <v>187</v>
      </c>
      <c r="K30" s="71" t="s">
        <v>189</v>
      </c>
      <c r="L30" s="71" t="s">
        <v>193</v>
      </c>
      <c r="M30" s="87">
        <v>1200</v>
      </c>
      <c r="N30" s="72">
        <v>65</v>
      </c>
      <c r="O30" s="71">
        <f t="shared" si="11"/>
        <v>1135</v>
      </c>
      <c r="P30" s="91">
        <f t="shared" si="12"/>
        <v>1200</v>
      </c>
      <c r="Q30" s="87"/>
    </row>
    <row r="31" spans="2:30" x14ac:dyDescent="0.4">
      <c r="B31" s="4">
        <v>28</v>
      </c>
      <c r="C31" s="87" t="s">
        <v>170</v>
      </c>
      <c r="D31" s="91" t="s">
        <v>191</v>
      </c>
      <c r="E31" s="71">
        <v>500</v>
      </c>
      <c r="F31" s="71" t="s">
        <v>143</v>
      </c>
      <c r="G31" s="71">
        <v>500</v>
      </c>
      <c r="H31" s="71" t="s">
        <v>143</v>
      </c>
      <c r="I31" s="72">
        <f t="shared" si="10"/>
        <v>400</v>
      </c>
      <c r="J31" s="91" t="s">
        <v>187</v>
      </c>
      <c r="K31" s="71" t="s">
        <v>189</v>
      </c>
      <c r="L31" s="71" t="s">
        <v>193</v>
      </c>
      <c r="M31" s="87">
        <v>450</v>
      </c>
      <c r="N31" s="72">
        <v>65</v>
      </c>
      <c r="O31" s="71">
        <f t="shared" si="11"/>
        <v>385</v>
      </c>
      <c r="P31" s="91">
        <f t="shared" si="12"/>
        <v>400</v>
      </c>
      <c r="Q31" s="87"/>
    </row>
    <row r="32" spans="2:30" x14ac:dyDescent="0.4">
      <c r="B32" s="4">
        <v>29</v>
      </c>
      <c r="C32" s="87" t="s">
        <v>171</v>
      </c>
      <c r="D32" s="91" t="s">
        <v>191</v>
      </c>
      <c r="E32" s="71">
        <v>500</v>
      </c>
      <c r="F32" s="71" t="s">
        <v>143</v>
      </c>
      <c r="G32" s="71">
        <v>500</v>
      </c>
      <c r="H32" s="71" t="s">
        <v>143</v>
      </c>
      <c r="I32" s="72">
        <f t="shared" si="10"/>
        <v>400</v>
      </c>
      <c r="J32" s="91" t="s">
        <v>187</v>
      </c>
      <c r="K32" s="71" t="s">
        <v>189</v>
      </c>
      <c r="L32" s="71" t="s">
        <v>193</v>
      </c>
      <c r="M32" s="87">
        <v>450</v>
      </c>
      <c r="N32" s="72">
        <v>65</v>
      </c>
      <c r="O32" s="71">
        <f t="shared" si="11"/>
        <v>385</v>
      </c>
      <c r="P32" s="91">
        <f t="shared" si="12"/>
        <v>400</v>
      </c>
      <c r="Q32" s="87"/>
    </row>
    <row r="33" spans="2:17" x14ac:dyDescent="0.4">
      <c r="B33" s="4">
        <v>30</v>
      </c>
      <c r="C33" s="87" t="s">
        <v>172</v>
      </c>
      <c r="D33" s="91" t="s">
        <v>191</v>
      </c>
      <c r="E33" s="71">
        <v>500</v>
      </c>
      <c r="F33" s="71" t="s">
        <v>143</v>
      </c>
      <c r="G33" s="71">
        <v>500</v>
      </c>
      <c r="H33" s="71" t="s">
        <v>143</v>
      </c>
      <c r="I33" s="72">
        <f t="shared" si="10"/>
        <v>1200</v>
      </c>
      <c r="J33" s="91" t="s">
        <v>187</v>
      </c>
      <c r="K33" s="71" t="s">
        <v>189</v>
      </c>
      <c r="L33" s="71" t="s">
        <v>193</v>
      </c>
      <c r="M33" s="87">
        <v>1200</v>
      </c>
      <c r="N33" s="72">
        <v>65</v>
      </c>
      <c r="O33" s="71">
        <f t="shared" si="11"/>
        <v>1135</v>
      </c>
      <c r="P33" s="91">
        <f t="shared" si="12"/>
        <v>1200</v>
      </c>
      <c r="Q33" s="87"/>
    </row>
    <row r="34" spans="2:17" x14ac:dyDescent="0.4">
      <c r="B34" s="4">
        <v>31</v>
      </c>
      <c r="C34" s="87" t="s">
        <v>173</v>
      </c>
      <c r="D34" s="91" t="s">
        <v>191</v>
      </c>
      <c r="E34" s="71">
        <v>500</v>
      </c>
      <c r="F34" s="71" t="s">
        <v>143</v>
      </c>
      <c r="G34" s="71">
        <v>500</v>
      </c>
      <c r="H34" s="71" t="s">
        <v>143</v>
      </c>
      <c r="I34" s="72">
        <f t="shared" si="10"/>
        <v>1000</v>
      </c>
      <c r="J34" s="91" t="s">
        <v>187</v>
      </c>
      <c r="K34" s="71" t="s">
        <v>189</v>
      </c>
      <c r="L34" s="71" t="s">
        <v>193</v>
      </c>
      <c r="M34" s="87">
        <v>1000</v>
      </c>
      <c r="N34" s="72">
        <v>65</v>
      </c>
      <c r="O34" s="71">
        <f t="shared" si="11"/>
        <v>935</v>
      </c>
      <c r="P34" s="91">
        <f t="shared" si="12"/>
        <v>1000</v>
      </c>
      <c r="Q34" s="87"/>
    </row>
    <row r="35" spans="2:17" x14ac:dyDescent="0.4">
      <c r="B35" s="4">
        <v>32</v>
      </c>
      <c r="C35" s="87" t="s">
        <v>174</v>
      </c>
      <c r="D35" s="91" t="s">
        <v>191</v>
      </c>
      <c r="E35" s="71">
        <v>500</v>
      </c>
      <c r="F35" s="71" t="s">
        <v>143</v>
      </c>
      <c r="G35" s="71">
        <v>500</v>
      </c>
      <c r="H35" s="71" t="s">
        <v>143</v>
      </c>
      <c r="I35" s="72">
        <f t="shared" si="10"/>
        <v>400</v>
      </c>
      <c r="J35" s="91" t="s">
        <v>187</v>
      </c>
      <c r="K35" s="71" t="s">
        <v>189</v>
      </c>
      <c r="L35" s="71" t="s">
        <v>193</v>
      </c>
      <c r="M35" s="87">
        <v>450</v>
      </c>
      <c r="N35" s="72">
        <v>65</v>
      </c>
      <c r="O35" s="71">
        <f t="shared" si="11"/>
        <v>385</v>
      </c>
      <c r="P35" s="91">
        <f t="shared" si="12"/>
        <v>400</v>
      </c>
      <c r="Q35" s="87"/>
    </row>
    <row r="36" spans="2:17" x14ac:dyDescent="0.4">
      <c r="B36" s="4">
        <v>33</v>
      </c>
      <c r="C36" s="87" t="s">
        <v>175</v>
      </c>
      <c r="D36" s="91" t="s">
        <v>191</v>
      </c>
      <c r="E36" s="71">
        <v>500</v>
      </c>
      <c r="F36" s="71" t="s">
        <v>143</v>
      </c>
      <c r="G36" s="71">
        <v>500</v>
      </c>
      <c r="H36" s="71" t="s">
        <v>143</v>
      </c>
      <c r="I36" s="72">
        <f t="shared" si="10"/>
        <v>500</v>
      </c>
      <c r="J36" s="91" t="s">
        <v>191</v>
      </c>
      <c r="K36" s="71"/>
      <c r="L36" s="71" t="s">
        <v>193</v>
      </c>
      <c r="M36" s="87">
        <v>500</v>
      </c>
      <c r="N36" s="72">
        <v>65</v>
      </c>
      <c r="O36" s="71">
        <f t="shared" si="11"/>
        <v>435</v>
      </c>
      <c r="P36" s="91">
        <f t="shared" si="12"/>
        <v>500</v>
      </c>
      <c r="Q36" s="87"/>
    </row>
    <row r="37" spans="2:17" x14ac:dyDescent="0.4">
      <c r="B37" s="4">
        <v>34</v>
      </c>
      <c r="C37" s="87" t="s">
        <v>176</v>
      </c>
      <c r="D37" s="91" t="s">
        <v>191</v>
      </c>
      <c r="E37" s="71">
        <v>500</v>
      </c>
      <c r="F37" s="71" t="s">
        <v>143</v>
      </c>
      <c r="G37" s="71">
        <v>500</v>
      </c>
      <c r="H37" s="71" t="s">
        <v>143</v>
      </c>
      <c r="I37" s="72">
        <f t="shared" si="10"/>
        <v>600</v>
      </c>
      <c r="J37" s="91" t="s">
        <v>191</v>
      </c>
      <c r="K37" s="71"/>
      <c r="L37" s="71" t="s">
        <v>193</v>
      </c>
      <c r="M37" s="87">
        <v>600</v>
      </c>
      <c r="N37" s="72">
        <v>65</v>
      </c>
      <c r="O37" s="71">
        <f t="shared" si="11"/>
        <v>535</v>
      </c>
      <c r="P37" s="91">
        <f t="shared" si="12"/>
        <v>600</v>
      </c>
      <c r="Q37" s="87"/>
    </row>
    <row r="38" spans="2:17" x14ac:dyDescent="0.4">
      <c r="B38" s="4">
        <v>35</v>
      </c>
      <c r="C38" s="87" t="s">
        <v>177</v>
      </c>
      <c r="D38" s="91" t="s">
        <v>191</v>
      </c>
      <c r="E38" s="71">
        <v>500</v>
      </c>
      <c r="F38" s="71" t="s">
        <v>143</v>
      </c>
      <c r="G38" s="71">
        <v>500</v>
      </c>
      <c r="H38" s="71" t="s">
        <v>143</v>
      </c>
      <c r="I38" s="72">
        <f t="shared" si="10"/>
        <v>400</v>
      </c>
      <c r="J38" s="91" t="s">
        <v>187</v>
      </c>
      <c r="K38" s="71" t="s">
        <v>189</v>
      </c>
      <c r="L38" s="71" t="s">
        <v>193</v>
      </c>
      <c r="M38" s="87">
        <v>450</v>
      </c>
      <c r="N38" s="72">
        <v>65</v>
      </c>
      <c r="O38" s="71">
        <f t="shared" si="11"/>
        <v>385</v>
      </c>
      <c r="P38" s="91">
        <f t="shared" si="12"/>
        <v>400</v>
      </c>
      <c r="Q38" s="87"/>
    </row>
    <row r="39" spans="2:17" x14ac:dyDescent="0.4">
      <c r="B39" s="4">
        <v>36</v>
      </c>
      <c r="C39" s="87" t="s">
        <v>201</v>
      </c>
      <c r="D39" s="91" t="s">
        <v>191</v>
      </c>
      <c r="E39" s="71">
        <v>500</v>
      </c>
      <c r="F39" s="71" t="s">
        <v>143</v>
      </c>
      <c r="G39" s="71">
        <v>500</v>
      </c>
      <c r="H39" s="71" t="s">
        <v>143</v>
      </c>
      <c r="I39" s="72">
        <f t="shared" si="10"/>
        <v>400</v>
      </c>
      <c r="J39" s="91" t="s">
        <v>187</v>
      </c>
      <c r="K39" s="71" t="s">
        <v>189</v>
      </c>
      <c r="L39" s="71" t="s">
        <v>193</v>
      </c>
      <c r="M39" s="87">
        <v>450</v>
      </c>
      <c r="N39" s="72">
        <v>65</v>
      </c>
      <c r="O39" s="71">
        <f t="shared" si="11"/>
        <v>385</v>
      </c>
      <c r="P39" s="91">
        <f t="shared" si="12"/>
        <v>400</v>
      </c>
      <c r="Q39" s="87"/>
    </row>
    <row r="40" spans="2:17" x14ac:dyDescent="0.4">
      <c r="B40" s="4">
        <v>37</v>
      </c>
      <c r="C40" s="87" t="s">
        <v>178</v>
      </c>
      <c r="D40" s="91" t="s">
        <v>197</v>
      </c>
      <c r="E40" s="308" t="s">
        <v>190</v>
      </c>
      <c r="F40" s="309"/>
      <c r="G40" s="310"/>
      <c r="H40" s="102"/>
      <c r="I40" s="72">
        <v>400</v>
      </c>
      <c r="J40" s="91" t="s">
        <v>200</v>
      </c>
      <c r="K40" s="71"/>
      <c r="L40" s="71"/>
      <c r="M40" s="87">
        <v>400</v>
      </c>
      <c r="N40" s="72"/>
      <c r="O40" s="71"/>
      <c r="P40" s="91"/>
      <c r="Q40" s="87"/>
    </row>
    <row r="41" spans="2:17" x14ac:dyDescent="0.4">
      <c r="B41" s="4">
        <v>38</v>
      </c>
      <c r="C41" s="87" t="s">
        <v>179</v>
      </c>
      <c r="D41" s="91" t="s">
        <v>191</v>
      </c>
      <c r="E41" s="71">
        <v>500</v>
      </c>
      <c r="F41" s="71" t="s">
        <v>143</v>
      </c>
      <c r="G41" s="71">
        <v>500</v>
      </c>
      <c r="H41" s="71" t="s">
        <v>143</v>
      </c>
      <c r="I41" s="72">
        <f t="shared" ref="I41:I43" si="13">P41</f>
        <v>400</v>
      </c>
      <c r="J41" s="91" t="s">
        <v>187</v>
      </c>
      <c r="K41" s="71" t="s">
        <v>189</v>
      </c>
      <c r="L41" s="71" t="s">
        <v>193</v>
      </c>
      <c r="M41" s="87">
        <v>450</v>
      </c>
      <c r="N41" s="72">
        <v>65</v>
      </c>
      <c r="O41" s="71">
        <f>M41-N41</f>
        <v>385</v>
      </c>
      <c r="P41" s="91">
        <f>ROUNDUP(O41,-2)</f>
        <v>400</v>
      </c>
      <c r="Q41" s="87" t="s">
        <v>199</v>
      </c>
    </row>
    <row r="42" spans="2:17" x14ac:dyDescent="0.4">
      <c r="B42" s="4">
        <v>39</v>
      </c>
      <c r="C42" s="87" t="s">
        <v>180</v>
      </c>
      <c r="D42" s="91" t="s">
        <v>191</v>
      </c>
      <c r="E42" s="71">
        <v>500</v>
      </c>
      <c r="F42" s="71" t="s">
        <v>143</v>
      </c>
      <c r="G42" s="71">
        <v>500</v>
      </c>
      <c r="H42" s="71" t="s">
        <v>143</v>
      </c>
      <c r="I42" s="72">
        <f t="shared" si="13"/>
        <v>400</v>
      </c>
      <c r="J42" s="91" t="s">
        <v>187</v>
      </c>
      <c r="K42" s="71" t="s">
        <v>189</v>
      </c>
      <c r="L42" s="71" t="s">
        <v>193</v>
      </c>
      <c r="M42" s="87">
        <v>450</v>
      </c>
      <c r="N42" s="72">
        <v>65</v>
      </c>
      <c r="O42" s="71">
        <f>M42-N42</f>
        <v>385</v>
      </c>
      <c r="P42" s="91">
        <f>ROUNDUP(O42,-2)</f>
        <v>400</v>
      </c>
      <c r="Q42" s="87"/>
    </row>
    <row r="43" spans="2:17" x14ac:dyDescent="0.4">
      <c r="B43" s="4">
        <v>40</v>
      </c>
      <c r="C43" s="87" t="s">
        <v>181</v>
      </c>
      <c r="D43" s="91" t="s">
        <v>191</v>
      </c>
      <c r="E43" s="71">
        <v>500</v>
      </c>
      <c r="F43" s="71" t="s">
        <v>143</v>
      </c>
      <c r="G43" s="71">
        <v>500</v>
      </c>
      <c r="H43" s="71" t="s">
        <v>143</v>
      </c>
      <c r="I43" s="72">
        <f t="shared" si="13"/>
        <v>400</v>
      </c>
      <c r="J43" s="91" t="s">
        <v>187</v>
      </c>
      <c r="K43" s="71" t="s">
        <v>189</v>
      </c>
      <c r="L43" s="71" t="s">
        <v>193</v>
      </c>
      <c r="M43" s="87">
        <v>450</v>
      </c>
      <c r="N43" s="72">
        <v>65</v>
      </c>
      <c r="O43" s="71">
        <f>M43-N43</f>
        <v>385</v>
      </c>
      <c r="P43" s="91">
        <f>ROUNDUP(O43,-2)</f>
        <v>400</v>
      </c>
      <c r="Q43" s="87"/>
    </row>
    <row r="44" spans="2:17" ht="18.75" customHeight="1" x14ac:dyDescent="0.4">
      <c r="O44" s="296" t="s">
        <v>215</v>
      </c>
      <c r="P44" s="296"/>
      <c r="Q44" s="296"/>
    </row>
  </sheetData>
  <mergeCells count="28">
    <mergeCell ref="B2:B3"/>
    <mergeCell ref="S1:AC1"/>
    <mergeCell ref="T23:AC26"/>
    <mergeCell ref="T27:AC28"/>
    <mergeCell ref="T19:W19"/>
    <mergeCell ref="T18:W18"/>
    <mergeCell ref="AB2:AC3"/>
    <mergeCell ref="M2:P2"/>
    <mergeCell ref="S2:X2"/>
    <mergeCell ref="Y2:AA3"/>
    <mergeCell ref="E11:G11"/>
    <mergeCell ref="E12:G12"/>
    <mergeCell ref="B1:Q1"/>
    <mergeCell ref="E40:G40"/>
    <mergeCell ref="C2:C3"/>
    <mergeCell ref="Q2:Q3"/>
    <mergeCell ref="D2:I2"/>
    <mergeCell ref="J2:L3"/>
    <mergeCell ref="O44:Q44"/>
    <mergeCell ref="AD2:AD3"/>
    <mergeCell ref="S15:S16"/>
    <mergeCell ref="T15:T16"/>
    <mergeCell ref="U15:U16"/>
    <mergeCell ref="V15:V16"/>
    <mergeCell ref="W15:W16"/>
    <mergeCell ref="X15:X16"/>
    <mergeCell ref="Y15:AC16"/>
    <mergeCell ref="AD15:AD16"/>
  </mergeCells>
  <phoneticPr fontId="1"/>
  <pageMargins left="0.7" right="0.7" top="0.75" bottom="0.75" header="0.3" footer="0.3"/>
  <pageSetup paperSize="8"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opLeftCell="A24" zoomScale="70" zoomScaleNormal="70" workbookViewId="0">
      <selection activeCell="U42" sqref="U42"/>
    </sheetView>
  </sheetViews>
  <sheetFormatPr defaultRowHeight="18.75" x14ac:dyDescent="0.4"/>
  <cols>
    <col min="1" max="1" width="4.75" customWidth="1"/>
    <col min="2" max="2" width="25.625" customWidth="1"/>
    <col min="3" max="3" width="10.875" customWidth="1"/>
    <col min="4" max="4" width="7" customWidth="1"/>
    <col min="5" max="5" width="11.5" customWidth="1"/>
    <col min="6" max="6" width="10.625" customWidth="1"/>
    <col min="7" max="7" width="13.625" customWidth="1"/>
    <col min="8" max="8" width="12.875" customWidth="1"/>
    <col min="9" max="9" width="10.375" customWidth="1"/>
    <col min="10" max="10" width="12.875" customWidth="1"/>
    <col min="12" max="12" width="12.625" customWidth="1"/>
  </cols>
  <sheetData>
    <row r="1" spans="1:15" ht="39" customHeight="1" x14ac:dyDescent="0.4">
      <c r="A1" s="98"/>
      <c r="B1" s="330" t="s">
        <v>291</v>
      </c>
      <c r="C1" s="330"/>
      <c r="D1" s="330"/>
      <c r="E1" s="330"/>
      <c r="F1" s="330"/>
      <c r="G1" s="330"/>
      <c r="H1" s="330"/>
      <c r="I1" s="330"/>
      <c r="J1" s="330"/>
      <c r="K1" s="140"/>
      <c r="L1" s="140"/>
    </row>
    <row r="2" spans="1:15" x14ac:dyDescent="0.4">
      <c r="A2" s="98"/>
      <c r="B2" s="103"/>
      <c r="C2" s="103"/>
      <c r="D2" s="103"/>
      <c r="E2" s="103"/>
      <c r="F2" s="103"/>
      <c r="G2" s="103"/>
      <c r="H2" s="103"/>
      <c r="I2" s="98"/>
      <c r="J2" s="98"/>
      <c r="K2" s="132"/>
    </row>
    <row r="3" spans="1:15" x14ac:dyDescent="0.4">
      <c r="B3" s="141">
        <v>11.45</v>
      </c>
      <c r="C3" s="103"/>
      <c r="D3" s="103"/>
      <c r="E3" s="103"/>
      <c r="F3" s="98"/>
      <c r="G3" s="103"/>
      <c r="H3" s="103"/>
      <c r="I3" s="98"/>
      <c r="J3" s="98"/>
    </row>
    <row r="4" spans="1:15" x14ac:dyDescent="0.4">
      <c r="B4" s="103" t="s">
        <v>258</v>
      </c>
      <c r="C4" s="103" t="s">
        <v>260</v>
      </c>
      <c r="D4" s="103">
        <v>11.21</v>
      </c>
      <c r="E4" s="103" t="s">
        <v>42</v>
      </c>
      <c r="F4" s="98"/>
      <c r="G4" s="103"/>
      <c r="H4" s="103"/>
      <c r="I4" s="98"/>
      <c r="J4" s="98"/>
    </row>
    <row r="5" spans="1:15" x14ac:dyDescent="0.4">
      <c r="B5" s="103" t="s">
        <v>259</v>
      </c>
      <c r="C5" s="103" t="s">
        <v>261</v>
      </c>
      <c r="D5" s="103">
        <v>2</v>
      </c>
      <c r="E5" s="103" t="s">
        <v>202</v>
      </c>
      <c r="F5" s="98"/>
      <c r="G5" s="103"/>
      <c r="H5" s="103"/>
      <c r="I5" s="98"/>
      <c r="J5" s="98"/>
    </row>
    <row r="6" spans="1:15" x14ac:dyDescent="0.4">
      <c r="B6" s="103" t="s">
        <v>279</v>
      </c>
      <c r="C6" s="103" t="s">
        <v>280</v>
      </c>
      <c r="D6" s="103">
        <v>58</v>
      </c>
      <c r="E6" s="103" t="s">
        <v>66</v>
      </c>
      <c r="F6" s="98"/>
      <c r="G6" s="103"/>
      <c r="H6" s="103"/>
      <c r="I6" s="98"/>
      <c r="J6" s="98"/>
    </row>
    <row r="7" spans="1:15" x14ac:dyDescent="0.4">
      <c r="B7" s="103" t="s">
        <v>285</v>
      </c>
      <c r="C7" s="103" t="s">
        <v>286</v>
      </c>
      <c r="D7" s="103">
        <v>11.11</v>
      </c>
      <c r="E7" s="103" t="s">
        <v>0</v>
      </c>
      <c r="F7" s="98"/>
      <c r="G7" s="103"/>
      <c r="H7" s="103"/>
      <c r="I7" s="98"/>
      <c r="J7" s="98"/>
    </row>
    <row r="8" spans="1:15" x14ac:dyDescent="0.4">
      <c r="B8" s="103"/>
      <c r="C8" s="103"/>
      <c r="D8" s="103"/>
      <c r="E8" s="103"/>
      <c r="F8" s="103"/>
      <c r="G8" s="103"/>
      <c r="H8" s="103"/>
      <c r="I8" s="98"/>
      <c r="J8" s="98"/>
    </row>
    <row r="9" spans="1:15" x14ac:dyDescent="0.4">
      <c r="B9" s="310" t="s">
        <v>90</v>
      </c>
      <c r="C9" s="311"/>
      <c r="D9" s="308" t="s">
        <v>270</v>
      </c>
      <c r="E9" s="310"/>
      <c r="F9" s="308" t="s">
        <v>275</v>
      </c>
      <c r="G9" s="310"/>
      <c r="H9" s="311" t="s">
        <v>271</v>
      </c>
      <c r="I9" s="311"/>
      <c r="J9" s="101" t="s">
        <v>276</v>
      </c>
      <c r="N9" s="4"/>
    </row>
    <row r="10" spans="1:15" x14ac:dyDescent="0.4">
      <c r="B10" s="92" t="s">
        <v>262</v>
      </c>
      <c r="C10" s="93"/>
      <c r="D10" s="136" t="s">
        <v>34</v>
      </c>
      <c r="E10" s="93">
        <v>0.26</v>
      </c>
      <c r="F10" s="136" t="s">
        <v>283</v>
      </c>
      <c r="G10" s="93">
        <f>ROUND(E10*$D$4,2)</f>
        <v>2.91</v>
      </c>
      <c r="H10" s="311">
        <f>G10</f>
        <v>2.91</v>
      </c>
      <c r="I10" s="311"/>
      <c r="J10" s="79">
        <f>D5*H10</f>
        <v>5.82</v>
      </c>
      <c r="O10" s="4"/>
    </row>
    <row r="11" spans="1:15" x14ac:dyDescent="0.4">
      <c r="B11" s="310" t="s">
        <v>263</v>
      </c>
      <c r="C11" s="100" t="s">
        <v>272</v>
      </c>
      <c r="D11" s="137" t="s">
        <v>269</v>
      </c>
      <c r="E11" s="100">
        <v>1.52</v>
      </c>
      <c r="F11" s="137" t="s">
        <v>282</v>
      </c>
      <c r="G11" s="100">
        <f>ROUND(E11*$D$4,2)</f>
        <v>17.04</v>
      </c>
      <c r="H11" s="296">
        <f>G11+G12</f>
        <v>17.559999999999999</v>
      </c>
      <c r="I11" s="296"/>
      <c r="J11" s="322">
        <f>D5*H11</f>
        <v>35.119999999999997</v>
      </c>
    </row>
    <row r="12" spans="1:15" x14ac:dyDescent="0.4">
      <c r="B12" s="310"/>
      <c r="C12" s="106" t="s">
        <v>273</v>
      </c>
      <c r="D12" s="138" t="s">
        <v>34</v>
      </c>
      <c r="E12" s="106">
        <v>0.26</v>
      </c>
      <c r="F12" s="138" t="s">
        <v>274</v>
      </c>
      <c r="G12" s="106">
        <f>ROUND(E12*2,2)</f>
        <v>0.52</v>
      </c>
      <c r="H12" s="299"/>
      <c r="I12" s="299"/>
      <c r="J12" s="323"/>
    </row>
    <row r="13" spans="1:15" x14ac:dyDescent="0.4">
      <c r="B13" s="310" t="s">
        <v>268</v>
      </c>
      <c r="C13" s="100" t="s">
        <v>265</v>
      </c>
      <c r="D13" s="137" t="s">
        <v>269</v>
      </c>
      <c r="E13" s="100">
        <v>0.65</v>
      </c>
      <c r="F13" s="137" t="s">
        <v>281</v>
      </c>
      <c r="G13" s="100">
        <f>ROUND(E13*$D$6,2)</f>
        <v>37.700000000000003</v>
      </c>
      <c r="H13" s="327" t="s">
        <v>277</v>
      </c>
      <c r="I13" s="311">
        <f>ROUND(SUM(G13:G15)*0.56,2)</f>
        <v>95.89</v>
      </c>
      <c r="J13" s="322">
        <f>I13*D5</f>
        <v>191.78</v>
      </c>
    </row>
    <row r="14" spans="1:15" x14ac:dyDescent="0.4">
      <c r="B14" s="310"/>
      <c r="C14" s="134" t="s">
        <v>266</v>
      </c>
      <c r="D14" s="139" t="s">
        <v>269</v>
      </c>
      <c r="E14" s="134">
        <v>0.77</v>
      </c>
      <c r="F14" s="139" t="s">
        <v>281</v>
      </c>
      <c r="G14" s="134">
        <f>ROUND(E14*$D$6,2)</f>
        <v>44.66</v>
      </c>
      <c r="H14" s="311"/>
      <c r="I14" s="311"/>
      <c r="J14" s="324"/>
    </row>
    <row r="15" spans="1:15" x14ac:dyDescent="0.4">
      <c r="B15" s="310"/>
      <c r="C15" s="106" t="s">
        <v>267</v>
      </c>
      <c r="D15" s="138" t="s">
        <v>261</v>
      </c>
      <c r="E15" s="106">
        <v>8</v>
      </c>
      <c r="F15" s="138" t="s">
        <v>287</v>
      </c>
      <c r="G15" s="106">
        <f>ROUND(E15*$D$7,2)</f>
        <v>88.88</v>
      </c>
      <c r="H15" s="311"/>
      <c r="I15" s="311"/>
      <c r="J15" s="323"/>
    </row>
    <row r="16" spans="1:15" x14ac:dyDescent="0.4">
      <c r="B16" s="92" t="s">
        <v>278</v>
      </c>
      <c r="C16" s="106"/>
      <c r="D16" s="138" t="s">
        <v>34</v>
      </c>
      <c r="E16" s="106">
        <v>0.05</v>
      </c>
      <c r="F16" s="138" t="s">
        <v>283</v>
      </c>
      <c r="G16" s="106">
        <f>ROUND(E16*$D$4,2)</f>
        <v>0.56000000000000005</v>
      </c>
      <c r="H16" s="311">
        <f>G16</f>
        <v>0.56000000000000005</v>
      </c>
      <c r="I16" s="311"/>
      <c r="J16" s="135">
        <f>H16*D5</f>
        <v>1.1200000000000001</v>
      </c>
    </row>
    <row r="17" spans="2:10" x14ac:dyDescent="0.4">
      <c r="B17" s="184" t="s">
        <v>264</v>
      </c>
      <c r="C17" s="76"/>
      <c r="D17" s="136" t="s">
        <v>33</v>
      </c>
      <c r="E17" s="93">
        <v>0.9</v>
      </c>
      <c r="F17" s="136" t="s">
        <v>284</v>
      </c>
      <c r="G17" s="93">
        <f>ROUND(E17*$D$4,2)</f>
        <v>10.09</v>
      </c>
      <c r="H17" s="311">
        <f>G17</f>
        <v>10.09</v>
      </c>
      <c r="I17" s="311"/>
      <c r="J17" s="79">
        <f>H17*D5</f>
        <v>20.18</v>
      </c>
    </row>
    <row r="18" spans="2:10" x14ac:dyDescent="0.4">
      <c r="B18" s="98"/>
      <c r="C18" s="98"/>
      <c r="D18" s="98"/>
      <c r="E18" s="98"/>
      <c r="F18" s="98"/>
      <c r="G18" s="98"/>
      <c r="H18" s="98"/>
      <c r="I18" s="98"/>
      <c r="J18" s="98"/>
    </row>
    <row r="19" spans="2:10" x14ac:dyDescent="0.4">
      <c r="B19" s="141">
        <v>11.4</v>
      </c>
      <c r="C19" s="103"/>
      <c r="D19" s="103"/>
      <c r="E19" s="103"/>
      <c r="F19" s="98"/>
      <c r="G19" s="103"/>
      <c r="H19" s="103"/>
      <c r="I19" s="98"/>
      <c r="J19" s="98"/>
    </row>
    <row r="20" spans="2:10" x14ac:dyDescent="0.4">
      <c r="B20" s="103" t="s">
        <v>258</v>
      </c>
      <c r="C20" s="103" t="s">
        <v>260</v>
      </c>
      <c r="D20" s="103">
        <v>11.16</v>
      </c>
      <c r="E20" s="103" t="s">
        <v>42</v>
      </c>
      <c r="F20" s="98"/>
      <c r="G20" s="103"/>
      <c r="H20" s="103"/>
      <c r="I20" s="98"/>
      <c r="J20" s="98"/>
    </row>
    <row r="21" spans="2:10" x14ac:dyDescent="0.4">
      <c r="B21" s="103" t="s">
        <v>259</v>
      </c>
      <c r="C21" s="103" t="s">
        <v>261</v>
      </c>
      <c r="D21" s="103">
        <v>1</v>
      </c>
      <c r="E21" s="103" t="s">
        <v>202</v>
      </c>
      <c r="F21" s="98"/>
      <c r="G21" s="103"/>
      <c r="H21" s="103"/>
      <c r="I21" s="98"/>
      <c r="J21" s="98"/>
    </row>
    <row r="22" spans="2:10" x14ac:dyDescent="0.4">
      <c r="B22" s="103" t="s">
        <v>279</v>
      </c>
      <c r="C22" s="103" t="s">
        <v>280</v>
      </c>
      <c r="D22" s="103">
        <v>58</v>
      </c>
      <c r="E22" s="103" t="s">
        <v>66</v>
      </c>
      <c r="F22" s="98"/>
      <c r="G22" s="103"/>
      <c r="H22" s="103"/>
      <c r="I22" s="98"/>
      <c r="J22" s="98"/>
    </row>
    <row r="23" spans="2:10" x14ac:dyDescent="0.4">
      <c r="B23" s="103" t="s">
        <v>285</v>
      </c>
      <c r="C23" s="103" t="s">
        <v>286</v>
      </c>
      <c r="D23" s="103">
        <v>11.06</v>
      </c>
      <c r="E23" s="103" t="s">
        <v>0</v>
      </c>
      <c r="F23" s="98"/>
      <c r="G23" s="103"/>
      <c r="H23" s="103"/>
      <c r="I23" s="98"/>
      <c r="J23" s="98"/>
    </row>
    <row r="24" spans="2:10" x14ac:dyDescent="0.4">
      <c r="B24" s="103"/>
      <c r="C24" s="103"/>
      <c r="D24" s="103"/>
      <c r="E24" s="103"/>
      <c r="F24" s="103"/>
      <c r="G24" s="103"/>
      <c r="H24" s="103"/>
      <c r="I24" s="98"/>
      <c r="J24" s="98"/>
    </row>
    <row r="25" spans="2:10" x14ac:dyDescent="0.4">
      <c r="B25" s="310" t="s">
        <v>90</v>
      </c>
      <c r="C25" s="311"/>
      <c r="D25" s="308" t="s">
        <v>270</v>
      </c>
      <c r="E25" s="310"/>
      <c r="F25" s="308" t="s">
        <v>92</v>
      </c>
      <c r="G25" s="310"/>
      <c r="H25" s="311" t="s">
        <v>271</v>
      </c>
      <c r="I25" s="311"/>
      <c r="J25" s="101" t="s">
        <v>276</v>
      </c>
    </row>
    <row r="26" spans="2:10" x14ac:dyDescent="0.4">
      <c r="B26" s="92" t="s">
        <v>262</v>
      </c>
      <c r="C26" s="93"/>
      <c r="D26" s="136" t="s">
        <v>34</v>
      </c>
      <c r="E26" s="93">
        <v>0.26</v>
      </c>
      <c r="F26" s="136" t="s">
        <v>283</v>
      </c>
      <c r="G26" s="93">
        <f>ROUND(E26*$D$20,2)</f>
        <v>2.9</v>
      </c>
      <c r="H26" s="311">
        <f>G26</f>
        <v>2.9</v>
      </c>
      <c r="I26" s="311"/>
      <c r="J26" s="79">
        <f>D21*H26</f>
        <v>2.9</v>
      </c>
    </row>
    <row r="27" spans="2:10" x14ac:dyDescent="0.4">
      <c r="B27" s="310" t="s">
        <v>263</v>
      </c>
      <c r="C27" s="100" t="s">
        <v>272</v>
      </c>
      <c r="D27" s="137" t="s">
        <v>269</v>
      </c>
      <c r="E27" s="100">
        <v>1.52</v>
      </c>
      <c r="F27" s="137" t="s">
        <v>282</v>
      </c>
      <c r="G27" s="100">
        <f>ROUND(E27*$D$20,2)</f>
        <v>16.96</v>
      </c>
      <c r="H27" s="296">
        <f>G27+G28</f>
        <v>17.48</v>
      </c>
      <c r="I27" s="296"/>
      <c r="J27" s="322">
        <f>D21*H27</f>
        <v>17.48</v>
      </c>
    </row>
    <row r="28" spans="2:10" x14ac:dyDescent="0.4">
      <c r="B28" s="310"/>
      <c r="C28" s="106" t="s">
        <v>273</v>
      </c>
      <c r="D28" s="138" t="s">
        <v>34</v>
      </c>
      <c r="E28" s="106">
        <v>0.26</v>
      </c>
      <c r="F28" s="138" t="s">
        <v>274</v>
      </c>
      <c r="G28" s="106">
        <f>ROUND(E28*2,2)</f>
        <v>0.52</v>
      </c>
      <c r="H28" s="299"/>
      <c r="I28" s="299"/>
      <c r="J28" s="323"/>
    </row>
    <row r="29" spans="2:10" x14ac:dyDescent="0.4">
      <c r="B29" s="310" t="s">
        <v>268</v>
      </c>
      <c r="C29" s="100" t="s">
        <v>265</v>
      </c>
      <c r="D29" s="137" t="s">
        <v>269</v>
      </c>
      <c r="E29" s="100">
        <v>0.65</v>
      </c>
      <c r="F29" s="137" t="s">
        <v>281</v>
      </c>
      <c r="G29" s="100">
        <f>ROUND(E29*$D$22,2)</f>
        <v>37.700000000000003</v>
      </c>
      <c r="H29" s="327" t="s">
        <v>277</v>
      </c>
      <c r="I29" s="311">
        <f>ROUND(SUM(G29:G31)*0.56,2)</f>
        <v>95.67</v>
      </c>
      <c r="J29" s="322">
        <f>I29*D21</f>
        <v>95.67</v>
      </c>
    </row>
    <row r="30" spans="2:10" x14ac:dyDescent="0.4">
      <c r="B30" s="310"/>
      <c r="C30" s="134" t="s">
        <v>266</v>
      </c>
      <c r="D30" s="139" t="s">
        <v>269</v>
      </c>
      <c r="E30" s="134">
        <v>0.77</v>
      </c>
      <c r="F30" s="139" t="s">
        <v>281</v>
      </c>
      <c r="G30" s="134">
        <f>ROUND(E30*$D$22,2)</f>
        <v>44.66</v>
      </c>
      <c r="H30" s="311"/>
      <c r="I30" s="311"/>
      <c r="J30" s="324"/>
    </row>
    <row r="31" spans="2:10" x14ac:dyDescent="0.4">
      <c r="B31" s="310"/>
      <c r="C31" s="106" t="s">
        <v>267</v>
      </c>
      <c r="D31" s="138" t="s">
        <v>261</v>
      </c>
      <c r="E31" s="106">
        <v>8</v>
      </c>
      <c r="F31" s="138" t="s">
        <v>287</v>
      </c>
      <c r="G31" s="106">
        <f>ROUND(E31*$D$23,2)</f>
        <v>88.48</v>
      </c>
      <c r="H31" s="311"/>
      <c r="I31" s="311"/>
      <c r="J31" s="323"/>
    </row>
    <row r="32" spans="2:10" x14ac:dyDescent="0.4">
      <c r="B32" s="92" t="s">
        <v>278</v>
      </c>
      <c r="C32" s="106"/>
      <c r="D32" s="138" t="s">
        <v>34</v>
      </c>
      <c r="E32" s="106">
        <v>0.05</v>
      </c>
      <c r="F32" s="138" t="s">
        <v>283</v>
      </c>
      <c r="G32" s="106">
        <f>ROUND(E32*$D$20,2)</f>
        <v>0.56000000000000005</v>
      </c>
      <c r="H32" s="311">
        <f>G32</f>
        <v>0.56000000000000005</v>
      </c>
      <c r="I32" s="311"/>
      <c r="J32" s="135">
        <f>H32*D21</f>
        <v>0.56000000000000005</v>
      </c>
    </row>
    <row r="33" spans="2:10" x14ac:dyDescent="0.4">
      <c r="B33" s="184" t="s">
        <v>264</v>
      </c>
      <c r="C33" s="76"/>
      <c r="D33" s="136" t="s">
        <v>33</v>
      </c>
      <c r="E33" s="93">
        <v>0.9</v>
      </c>
      <c r="F33" s="136" t="s">
        <v>284</v>
      </c>
      <c r="G33" s="93">
        <f>ROUND(E33*$D$20,2)</f>
        <v>10.039999999999999</v>
      </c>
      <c r="H33" s="311">
        <f>G33</f>
        <v>10.039999999999999</v>
      </c>
      <c r="I33" s="311"/>
      <c r="J33" s="79">
        <f>H33*D21</f>
        <v>10.039999999999999</v>
      </c>
    </row>
    <row r="35" spans="2:10" x14ac:dyDescent="0.4">
      <c r="B35" s="141">
        <v>13.2</v>
      </c>
      <c r="C35" s="103"/>
      <c r="D35" s="103"/>
      <c r="E35" s="103"/>
      <c r="F35" s="98"/>
      <c r="G35" s="103"/>
      <c r="H35" s="103"/>
      <c r="I35" s="98"/>
      <c r="J35" s="98"/>
    </row>
    <row r="36" spans="2:10" x14ac:dyDescent="0.4">
      <c r="B36" s="103" t="s">
        <v>258</v>
      </c>
      <c r="C36" s="103" t="s">
        <v>260</v>
      </c>
      <c r="D36" s="103">
        <v>12.96</v>
      </c>
      <c r="E36" s="103" t="s">
        <v>42</v>
      </c>
      <c r="F36" s="98"/>
      <c r="G36" s="103"/>
      <c r="H36" s="103"/>
      <c r="I36" s="98"/>
      <c r="J36" s="98"/>
    </row>
    <row r="37" spans="2:10" x14ac:dyDescent="0.4">
      <c r="B37" s="103" t="s">
        <v>259</v>
      </c>
      <c r="C37" s="103" t="s">
        <v>261</v>
      </c>
      <c r="D37" s="103">
        <v>1</v>
      </c>
      <c r="E37" s="103" t="s">
        <v>202</v>
      </c>
      <c r="F37" s="98"/>
      <c r="G37" s="103"/>
      <c r="H37" s="103"/>
      <c r="I37" s="98"/>
      <c r="J37" s="98"/>
    </row>
    <row r="38" spans="2:10" x14ac:dyDescent="0.4">
      <c r="B38" s="103" t="s">
        <v>279</v>
      </c>
      <c r="C38" s="103" t="s">
        <v>280</v>
      </c>
      <c r="D38" s="103">
        <v>68</v>
      </c>
      <c r="E38" s="103" t="s">
        <v>66</v>
      </c>
      <c r="F38" s="98"/>
      <c r="G38" s="103"/>
      <c r="H38" s="103"/>
      <c r="I38" s="98"/>
      <c r="J38" s="98"/>
    </row>
    <row r="39" spans="2:10" x14ac:dyDescent="0.4">
      <c r="B39" s="103" t="s">
        <v>285</v>
      </c>
      <c r="C39" s="103" t="s">
        <v>286</v>
      </c>
      <c r="D39" s="103">
        <v>12.86</v>
      </c>
      <c r="E39" s="103" t="s">
        <v>0</v>
      </c>
      <c r="F39" s="98"/>
      <c r="G39" s="103"/>
      <c r="H39" s="103"/>
      <c r="I39" s="98"/>
      <c r="J39" s="98"/>
    </row>
    <row r="40" spans="2:10" x14ac:dyDescent="0.4">
      <c r="B40" s="103"/>
      <c r="C40" s="103"/>
      <c r="D40" s="103"/>
      <c r="E40" s="103"/>
      <c r="F40" s="103"/>
      <c r="G40" s="103"/>
      <c r="H40" s="103"/>
      <c r="I40" s="98"/>
      <c r="J40" s="98"/>
    </row>
    <row r="41" spans="2:10" x14ac:dyDescent="0.4">
      <c r="B41" s="310" t="s">
        <v>90</v>
      </c>
      <c r="C41" s="311"/>
      <c r="D41" s="308" t="s">
        <v>270</v>
      </c>
      <c r="E41" s="310"/>
      <c r="F41" s="308" t="s">
        <v>92</v>
      </c>
      <c r="G41" s="310"/>
      <c r="H41" s="311" t="s">
        <v>271</v>
      </c>
      <c r="I41" s="311"/>
      <c r="J41" s="101" t="s">
        <v>276</v>
      </c>
    </row>
    <row r="42" spans="2:10" x14ac:dyDescent="0.4">
      <c r="B42" s="92" t="s">
        <v>262</v>
      </c>
      <c r="C42" s="93"/>
      <c r="D42" s="136" t="s">
        <v>34</v>
      </c>
      <c r="E42" s="93">
        <v>0.26</v>
      </c>
      <c r="F42" s="136" t="s">
        <v>283</v>
      </c>
      <c r="G42" s="93">
        <f>ROUND(E42*$D$36,2)</f>
        <v>3.37</v>
      </c>
      <c r="H42" s="311">
        <f>G42</f>
        <v>3.37</v>
      </c>
      <c r="I42" s="311"/>
      <c r="J42" s="79">
        <f>D37*H42</f>
        <v>3.37</v>
      </c>
    </row>
    <row r="43" spans="2:10" x14ac:dyDescent="0.4">
      <c r="B43" s="310" t="s">
        <v>263</v>
      </c>
      <c r="C43" s="100" t="s">
        <v>272</v>
      </c>
      <c r="D43" s="137" t="s">
        <v>269</v>
      </c>
      <c r="E43" s="100">
        <v>1.52</v>
      </c>
      <c r="F43" s="137" t="s">
        <v>282</v>
      </c>
      <c r="G43" s="100">
        <f>ROUND(E43*$D$36,2)</f>
        <v>19.7</v>
      </c>
      <c r="H43" s="296">
        <f>G43+G44</f>
        <v>20.22</v>
      </c>
      <c r="I43" s="296"/>
      <c r="J43" s="322">
        <f>D37*H43</f>
        <v>20.22</v>
      </c>
    </row>
    <row r="44" spans="2:10" x14ac:dyDescent="0.4">
      <c r="B44" s="310"/>
      <c r="C44" s="106" t="s">
        <v>273</v>
      </c>
      <c r="D44" s="138" t="s">
        <v>34</v>
      </c>
      <c r="E44" s="106">
        <v>0.26</v>
      </c>
      <c r="F44" s="138" t="s">
        <v>274</v>
      </c>
      <c r="G44" s="106">
        <f>ROUND(E44*2,2)</f>
        <v>0.52</v>
      </c>
      <c r="H44" s="299"/>
      <c r="I44" s="299"/>
      <c r="J44" s="323"/>
    </row>
    <row r="45" spans="2:10" x14ac:dyDescent="0.4">
      <c r="B45" s="310" t="s">
        <v>268</v>
      </c>
      <c r="C45" s="100" t="s">
        <v>265</v>
      </c>
      <c r="D45" s="137" t="s">
        <v>269</v>
      </c>
      <c r="E45" s="100">
        <v>0.65</v>
      </c>
      <c r="F45" s="137" t="s">
        <v>281</v>
      </c>
      <c r="G45" s="100">
        <f>ROUND(E45*$D$38,2)</f>
        <v>44.2</v>
      </c>
      <c r="H45" s="327" t="s">
        <v>277</v>
      </c>
      <c r="I45" s="311">
        <f>ROUND(SUM(G45:G47)*0.56,2)</f>
        <v>112.13</v>
      </c>
      <c r="J45" s="322">
        <f>I45*D37</f>
        <v>112.13</v>
      </c>
    </row>
    <row r="46" spans="2:10" x14ac:dyDescent="0.4">
      <c r="B46" s="310"/>
      <c r="C46" s="134" t="s">
        <v>266</v>
      </c>
      <c r="D46" s="139" t="s">
        <v>269</v>
      </c>
      <c r="E46" s="134">
        <v>0.77</v>
      </c>
      <c r="F46" s="139" t="s">
        <v>281</v>
      </c>
      <c r="G46" s="134">
        <f>ROUND(E46*$D$38,2)</f>
        <v>52.36</v>
      </c>
      <c r="H46" s="311"/>
      <c r="I46" s="311"/>
      <c r="J46" s="324"/>
    </row>
    <row r="47" spans="2:10" x14ac:dyDescent="0.4">
      <c r="B47" s="310"/>
      <c r="C47" s="106" t="s">
        <v>267</v>
      </c>
      <c r="D47" s="138" t="s">
        <v>261</v>
      </c>
      <c r="E47" s="106">
        <v>8</v>
      </c>
      <c r="F47" s="138" t="s">
        <v>287</v>
      </c>
      <c r="G47" s="106">
        <f>ROUND(E47*$D$36,2)</f>
        <v>103.68</v>
      </c>
      <c r="H47" s="311"/>
      <c r="I47" s="311"/>
      <c r="J47" s="323"/>
    </row>
    <row r="48" spans="2:10" x14ac:dyDescent="0.4">
      <c r="B48" s="92" t="s">
        <v>278</v>
      </c>
      <c r="C48" s="106"/>
      <c r="D48" s="138" t="s">
        <v>34</v>
      </c>
      <c r="E48" s="106">
        <v>0.05</v>
      </c>
      <c r="F48" s="138" t="s">
        <v>283</v>
      </c>
      <c r="G48" s="106">
        <f>ROUND(E48*$D$36,2)</f>
        <v>0.65</v>
      </c>
      <c r="H48" s="311">
        <f>G48</f>
        <v>0.65</v>
      </c>
      <c r="I48" s="311"/>
      <c r="J48" s="135">
        <f>H48*D37</f>
        <v>0.65</v>
      </c>
    </row>
    <row r="49" spans="2:10" x14ac:dyDescent="0.4">
      <c r="B49" s="184" t="s">
        <v>264</v>
      </c>
      <c r="C49" s="76"/>
      <c r="D49" s="136" t="s">
        <v>33</v>
      </c>
      <c r="E49" s="93">
        <v>0.9</v>
      </c>
      <c r="F49" s="136" t="s">
        <v>284</v>
      </c>
      <c r="G49" s="93">
        <f>ROUND(E49*$D$36,2)</f>
        <v>11.66</v>
      </c>
      <c r="H49" s="311">
        <f>G49</f>
        <v>11.66</v>
      </c>
      <c r="I49" s="311"/>
      <c r="J49" s="79">
        <f>H49*D37</f>
        <v>11.66</v>
      </c>
    </row>
    <row r="52" spans="2:10" x14ac:dyDescent="0.4">
      <c r="H52" s="320" t="s">
        <v>90</v>
      </c>
      <c r="I52" s="321"/>
      <c r="J52" s="79" t="s">
        <v>288</v>
      </c>
    </row>
    <row r="53" spans="2:10" x14ac:dyDescent="0.4">
      <c r="H53" s="317" t="s">
        <v>262</v>
      </c>
      <c r="I53" s="285"/>
      <c r="J53" s="79">
        <f>J10+J26+J42</f>
        <v>12.09</v>
      </c>
    </row>
    <row r="54" spans="2:10" x14ac:dyDescent="0.4">
      <c r="H54" s="325" t="s">
        <v>263</v>
      </c>
      <c r="I54" s="326"/>
      <c r="J54" s="322">
        <f>J11+J27+J43</f>
        <v>72.819999999999993</v>
      </c>
    </row>
    <row r="55" spans="2:10" x14ac:dyDescent="0.4">
      <c r="H55" s="325"/>
      <c r="I55" s="326"/>
      <c r="J55" s="323"/>
    </row>
    <row r="56" spans="2:10" x14ac:dyDescent="0.4">
      <c r="H56" s="328" t="s">
        <v>268</v>
      </c>
      <c r="I56" s="329"/>
      <c r="J56" s="322">
        <f>J13+J296+J45+J29</f>
        <v>399.58</v>
      </c>
    </row>
    <row r="57" spans="2:10" x14ac:dyDescent="0.4">
      <c r="H57" s="325"/>
      <c r="I57" s="326"/>
      <c r="J57" s="324"/>
    </row>
    <row r="58" spans="2:10" x14ac:dyDescent="0.4">
      <c r="H58" s="318"/>
      <c r="I58" s="319"/>
      <c r="J58" s="323"/>
    </row>
    <row r="59" spans="2:10" x14ac:dyDescent="0.4">
      <c r="H59" s="317" t="s">
        <v>278</v>
      </c>
      <c r="I59" s="285"/>
      <c r="J59" s="135">
        <f>J16+J32+J48</f>
        <v>2.33</v>
      </c>
    </row>
    <row r="60" spans="2:10" x14ac:dyDescent="0.4">
      <c r="H60" s="318" t="s">
        <v>264</v>
      </c>
      <c r="I60" s="319"/>
      <c r="J60" s="79">
        <f>J17+J33+J49</f>
        <v>41.879999999999995</v>
      </c>
    </row>
  </sheetData>
  <mergeCells count="51">
    <mergeCell ref="B1:J1"/>
    <mergeCell ref="J27:J28"/>
    <mergeCell ref="J29:J31"/>
    <mergeCell ref="H17:I17"/>
    <mergeCell ref="J11:J12"/>
    <mergeCell ref="B9:C9"/>
    <mergeCell ref="J13:J15"/>
    <mergeCell ref="H9:I9"/>
    <mergeCell ref="H10:I10"/>
    <mergeCell ref="H11:I12"/>
    <mergeCell ref="H13:H15"/>
    <mergeCell ref="B13:B15"/>
    <mergeCell ref="D9:E9"/>
    <mergeCell ref="F9:G9"/>
    <mergeCell ref="B11:B12"/>
    <mergeCell ref="I13:I15"/>
    <mergeCell ref="H25:I25"/>
    <mergeCell ref="B29:B31"/>
    <mergeCell ref="H29:H31"/>
    <mergeCell ref="I29:I31"/>
    <mergeCell ref="H16:I16"/>
    <mergeCell ref="B25:C25"/>
    <mergeCell ref="D25:E25"/>
    <mergeCell ref="F25:G25"/>
    <mergeCell ref="H26:I26"/>
    <mergeCell ref="B27:B28"/>
    <mergeCell ref="H27:I28"/>
    <mergeCell ref="H42:I42"/>
    <mergeCell ref="B43:B44"/>
    <mergeCell ref="H43:I44"/>
    <mergeCell ref="J43:J44"/>
    <mergeCell ref="H32:I32"/>
    <mergeCell ref="H33:I33"/>
    <mergeCell ref="B41:C41"/>
    <mergeCell ref="D41:E41"/>
    <mergeCell ref="F41:G41"/>
    <mergeCell ref="H41:I41"/>
    <mergeCell ref="J54:J55"/>
    <mergeCell ref="J56:J58"/>
    <mergeCell ref="H53:I53"/>
    <mergeCell ref="H54:I55"/>
    <mergeCell ref="B45:B47"/>
    <mergeCell ref="H45:H47"/>
    <mergeCell ref="I45:I47"/>
    <mergeCell ref="J45:J47"/>
    <mergeCell ref="H56:I58"/>
    <mergeCell ref="H59:I59"/>
    <mergeCell ref="H60:I60"/>
    <mergeCell ref="H52:I52"/>
    <mergeCell ref="H48:I48"/>
    <mergeCell ref="H49:I49"/>
  </mergeCells>
  <phoneticPr fontId="1"/>
  <pageMargins left="0.7" right="0.7" top="0.75" bottom="0.75" header="0.3" footer="0.3"/>
  <pageSetup paperSize="9" scale="63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6"/>
  <sheetViews>
    <sheetView tabSelected="1" topLeftCell="A17" workbookViewId="0">
      <selection activeCell="K26" sqref="K26"/>
    </sheetView>
  </sheetViews>
  <sheetFormatPr defaultRowHeight="18.75" x14ac:dyDescent="0.4"/>
  <cols>
    <col min="2" max="2" width="11.375" customWidth="1"/>
    <col min="3" max="3" width="6.75" customWidth="1"/>
    <col min="4" max="4" width="8.5" style="4" customWidth="1"/>
    <col min="5" max="5" width="5.125" customWidth="1"/>
    <col min="6" max="6" width="6.25" customWidth="1"/>
    <col min="7" max="7" width="8.375" style="4" customWidth="1"/>
    <col min="8" max="8" width="5.75" customWidth="1"/>
  </cols>
  <sheetData>
    <row r="2" spans="2:11" ht="33" x14ac:dyDescent="0.4">
      <c r="B2" s="330" t="s">
        <v>292</v>
      </c>
      <c r="C2" s="330"/>
      <c r="D2" s="330"/>
      <c r="E2" s="330"/>
      <c r="F2" s="330"/>
      <c r="G2" s="330"/>
      <c r="H2" s="330"/>
      <c r="I2" s="140"/>
      <c r="J2" s="140"/>
    </row>
    <row r="3" spans="2:11" x14ac:dyDescent="0.4">
      <c r="B3" s="5" t="s">
        <v>300</v>
      </c>
    </row>
    <row r="4" spans="2:11" x14ac:dyDescent="0.4">
      <c r="B4" s="4" t="s">
        <v>293</v>
      </c>
      <c r="C4" s="4">
        <v>8</v>
      </c>
      <c r="D4" s="4" t="s">
        <v>0</v>
      </c>
    </row>
    <row r="5" spans="2:11" ht="36" customHeight="1" x14ac:dyDescent="0.4">
      <c r="B5" s="1" t="s">
        <v>294</v>
      </c>
      <c r="C5" s="269" t="s">
        <v>270</v>
      </c>
      <c r="D5" s="269"/>
      <c r="E5" s="269"/>
      <c r="F5" s="335" t="s">
        <v>310</v>
      </c>
      <c r="G5" s="269"/>
      <c r="H5" s="269"/>
    </row>
    <row r="6" spans="2:11" x14ac:dyDescent="0.4">
      <c r="B6" s="332" t="s">
        <v>296</v>
      </c>
      <c r="C6" s="26" t="s">
        <v>33</v>
      </c>
      <c r="D6" s="68">
        <v>7.13</v>
      </c>
      <c r="E6" s="2" t="s">
        <v>0</v>
      </c>
      <c r="F6" s="26" t="s">
        <v>34</v>
      </c>
      <c r="G6" s="68">
        <f>ROUND(D6*$C$4,2)</f>
        <v>57.04</v>
      </c>
      <c r="H6" s="2" t="s">
        <v>1</v>
      </c>
    </row>
    <row r="7" spans="2:11" x14ac:dyDescent="0.4">
      <c r="B7" s="333"/>
      <c r="C7" s="26" t="s">
        <v>34</v>
      </c>
      <c r="D7" s="68">
        <v>1.21</v>
      </c>
      <c r="E7" s="2" t="s">
        <v>0</v>
      </c>
      <c r="F7" s="26" t="s">
        <v>34</v>
      </c>
      <c r="G7" s="68">
        <f>D7*2</f>
        <v>2.42</v>
      </c>
      <c r="H7" s="2" t="s">
        <v>1</v>
      </c>
    </row>
    <row r="8" spans="2:11" x14ac:dyDescent="0.4">
      <c r="B8" s="334"/>
      <c r="C8" s="26"/>
      <c r="D8" s="68"/>
      <c r="E8" s="2"/>
      <c r="F8" s="26" t="s">
        <v>309</v>
      </c>
      <c r="G8" s="68">
        <f>SUM(G6:G7)</f>
        <v>59.46</v>
      </c>
      <c r="H8" s="2" t="s">
        <v>1</v>
      </c>
    </row>
    <row r="9" spans="2:11" x14ac:dyDescent="0.4">
      <c r="B9" s="1" t="s">
        <v>297</v>
      </c>
      <c r="C9" s="26" t="s">
        <v>34</v>
      </c>
      <c r="D9" s="68">
        <v>1.21</v>
      </c>
      <c r="E9" s="2" t="s">
        <v>1</v>
      </c>
      <c r="F9" s="26" t="s">
        <v>43</v>
      </c>
      <c r="G9" s="68">
        <f t="shared" ref="G9:G12" si="0">ROUND(D9*$C$4,2)</f>
        <v>9.68</v>
      </c>
      <c r="H9" s="2" t="s">
        <v>6</v>
      </c>
      <c r="K9" s="4"/>
    </row>
    <row r="10" spans="2:11" x14ac:dyDescent="0.4">
      <c r="B10" s="1" t="s">
        <v>298</v>
      </c>
      <c r="C10" s="26" t="s">
        <v>33</v>
      </c>
      <c r="D10" s="68">
        <v>4.9000000000000004</v>
      </c>
      <c r="E10" s="2" t="s">
        <v>0</v>
      </c>
      <c r="F10" s="26" t="s">
        <v>34</v>
      </c>
      <c r="G10" s="68">
        <f t="shared" si="0"/>
        <v>39.200000000000003</v>
      </c>
      <c r="H10" s="2" t="s">
        <v>1</v>
      </c>
    </row>
    <row r="11" spans="2:11" x14ac:dyDescent="0.4">
      <c r="B11" s="1" t="s">
        <v>295</v>
      </c>
      <c r="C11" s="3"/>
      <c r="D11" s="68"/>
      <c r="E11" s="2"/>
      <c r="F11" s="26"/>
      <c r="G11" s="68"/>
      <c r="H11" s="2"/>
    </row>
    <row r="12" spans="2:11" x14ac:dyDescent="0.4">
      <c r="B12" s="1" t="s">
        <v>297</v>
      </c>
      <c r="C12" s="26" t="s">
        <v>34</v>
      </c>
      <c r="D12" s="68">
        <v>0.43</v>
      </c>
      <c r="E12" s="2" t="s">
        <v>1</v>
      </c>
      <c r="F12" s="26" t="s">
        <v>43</v>
      </c>
      <c r="G12" s="68">
        <f t="shared" si="0"/>
        <v>3.44</v>
      </c>
      <c r="H12" s="2" t="s">
        <v>6</v>
      </c>
    </row>
    <row r="14" spans="2:11" x14ac:dyDescent="0.4">
      <c r="B14" s="5" t="s">
        <v>301</v>
      </c>
    </row>
    <row r="15" spans="2:11" x14ac:dyDescent="0.4">
      <c r="B15" s="4" t="s">
        <v>303</v>
      </c>
      <c r="C15" s="4">
        <v>9.5</v>
      </c>
      <c r="D15" s="4" t="s">
        <v>0</v>
      </c>
    </row>
    <row r="16" spans="2:11" x14ac:dyDescent="0.4">
      <c r="B16" s="1" t="s">
        <v>294</v>
      </c>
      <c r="C16" s="269" t="s">
        <v>270</v>
      </c>
      <c r="D16" s="269"/>
      <c r="E16" s="269"/>
      <c r="F16" s="269" t="s">
        <v>299</v>
      </c>
      <c r="G16" s="269"/>
      <c r="H16" s="269"/>
    </row>
    <row r="17" spans="2:8" x14ac:dyDescent="0.4">
      <c r="B17" s="332" t="s">
        <v>296</v>
      </c>
      <c r="C17" s="26" t="s">
        <v>33</v>
      </c>
      <c r="D17" s="68">
        <v>6.79</v>
      </c>
      <c r="E17" s="2" t="s">
        <v>0</v>
      </c>
      <c r="F17" s="26" t="s">
        <v>34</v>
      </c>
      <c r="G17" s="68">
        <f>ROUND(D17*$C$15,2)</f>
        <v>64.510000000000005</v>
      </c>
      <c r="H17" s="2" t="s">
        <v>1</v>
      </c>
    </row>
    <row r="18" spans="2:8" x14ac:dyDescent="0.4">
      <c r="B18" s="333"/>
      <c r="C18" s="26" t="s">
        <v>34</v>
      </c>
      <c r="D18" s="68">
        <v>1.1000000000000001</v>
      </c>
      <c r="E18" s="2" t="s">
        <v>0</v>
      </c>
      <c r="F18" s="26" t="s">
        <v>34</v>
      </c>
      <c r="G18" s="68">
        <f>D18*2</f>
        <v>2.2000000000000002</v>
      </c>
      <c r="H18" s="2" t="s">
        <v>1</v>
      </c>
    </row>
    <row r="19" spans="2:8" x14ac:dyDescent="0.4">
      <c r="B19" s="334"/>
      <c r="C19" s="26"/>
      <c r="D19" s="68"/>
      <c r="E19" s="2"/>
      <c r="F19" s="26" t="s">
        <v>309</v>
      </c>
      <c r="G19" s="68">
        <f>SUM(G17:G18)</f>
        <v>66.710000000000008</v>
      </c>
      <c r="H19" s="2" t="s">
        <v>1</v>
      </c>
    </row>
    <row r="20" spans="2:8" x14ac:dyDescent="0.4">
      <c r="B20" s="1" t="s">
        <v>297</v>
      </c>
      <c r="C20" s="26" t="s">
        <v>34</v>
      </c>
      <c r="D20" s="68">
        <v>1.1000000000000001</v>
      </c>
      <c r="E20" s="2" t="s">
        <v>1</v>
      </c>
      <c r="F20" s="26" t="s">
        <v>43</v>
      </c>
      <c r="G20" s="68">
        <f>ROUND(D20*$C$15,2)</f>
        <v>10.45</v>
      </c>
      <c r="H20" s="2" t="s">
        <v>6</v>
      </c>
    </row>
    <row r="21" spans="2:8" x14ac:dyDescent="0.4">
      <c r="B21" s="1" t="s">
        <v>298</v>
      </c>
      <c r="C21" s="26" t="s">
        <v>33</v>
      </c>
      <c r="D21" s="68">
        <v>4.17</v>
      </c>
      <c r="E21" s="2" t="s">
        <v>0</v>
      </c>
      <c r="F21" s="26" t="s">
        <v>34</v>
      </c>
      <c r="G21" s="68">
        <f>ROUND(D21*$C$15,2)</f>
        <v>39.619999999999997</v>
      </c>
      <c r="H21" s="2" t="s">
        <v>1</v>
      </c>
    </row>
    <row r="22" spans="2:8" x14ac:dyDescent="0.4">
      <c r="B22" s="1" t="s">
        <v>295</v>
      </c>
      <c r="C22" s="3"/>
      <c r="D22" s="68"/>
      <c r="E22" s="2"/>
      <c r="F22" s="26"/>
      <c r="G22" s="68"/>
      <c r="H22" s="2"/>
    </row>
    <row r="23" spans="2:8" x14ac:dyDescent="0.4">
      <c r="B23" s="1" t="s">
        <v>297</v>
      </c>
      <c r="C23" s="26" t="s">
        <v>34</v>
      </c>
      <c r="D23" s="68">
        <v>0.36</v>
      </c>
      <c r="E23" s="2" t="s">
        <v>1</v>
      </c>
      <c r="F23" s="26" t="s">
        <v>43</v>
      </c>
      <c r="G23" s="68">
        <f>ROUND(D23*$C$15,2)</f>
        <v>3.42</v>
      </c>
      <c r="H23" s="2" t="s">
        <v>6</v>
      </c>
    </row>
    <row r="25" spans="2:8" x14ac:dyDescent="0.4">
      <c r="B25" s="5" t="s">
        <v>304</v>
      </c>
    </row>
    <row r="26" spans="2:8" x14ac:dyDescent="0.4">
      <c r="B26" s="4" t="s">
        <v>302</v>
      </c>
      <c r="C26" s="4">
        <v>6.1</v>
      </c>
      <c r="D26" s="4" t="s">
        <v>0</v>
      </c>
    </row>
    <row r="27" spans="2:8" x14ac:dyDescent="0.4">
      <c r="B27" s="1" t="s">
        <v>294</v>
      </c>
      <c r="C27" s="269" t="s">
        <v>270</v>
      </c>
      <c r="D27" s="269"/>
      <c r="E27" s="269"/>
      <c r="F27" s="269" t="s">
        <v>299</v>
      </c>
      <c r="G27" s="269"/>
      <c r="H27" s="269"/>
    </row>
    <row r="28" spans="2:8" x14ac:dyDescent="0.4">
      <c r="B28" s="332" t="s">
        <v>296</v>
      </c>
      <c r="C28" s="26" t="s">
        <v>33</v>
      </c>
      <c r="D28" s="68">
        <f>ROUND((D6+D17)/2,2)</f>
        <v>6.96</v>
      </c>
      <c r="E28" s="2" t="s">
        <v>0</v>
      </c>
      <c r="F28" s="26" t="s">
        <v>34</v>
      </c>
      <c r="G28" s="68">
        <f>ROUND(D28*$C$26,2)</f>
        <v>42.46</v>
      </c>
      <c r="H28" s="2" t="s">
        <v>1</v>
      </c>
    </row>
    <row r="29" spans="2:8" x14ac:dyDescent="0.4">
      <c r="B29" s="333"/>
      <c r="C29" s="26"/>
      <c r="D29" s="68"/>
      <c r="E29" s="2"/>
      <c r="F29" s="26"/>
      <c r="G29" s="68"/>
      <c r="H29" s="2"/>
    </row>
    <row r="30" spans="2:8" x14ac:dyDescent="0.4">
      <c r="B30" s="334"/>
      <c r="C30" s="26"/>
      <c r="D30" s="68"/>
      <c r="E30" s="2"/>
      <c r="F30" s="26"/>
      <c r="G30" s="68"/>
      <c r="H30" s="2"/>
    </row>
    <row r="31" spans="2:8" x14ac:dyDescent="0.4">
      <c r="B31" s="1" t="s">
        <v>297</v>
      </c>
      <c r="C31" s="26" t="s">
        <v>34</v>
      </c>
      <c r="D31" s="68">
        <f>ROUND((D9+D20)/2,2)</f>
        <v>1.1599999999999999</v>
      </c>
      <c r="E31" s="2" t="s">
        <v>1</v>
      </c>
      <c r="F31" s="26" t="s">
        <v>43</v>
      </c>
      <c r="G31" s="68">
        <f>ROUND(D31*$C$26,2)</f>
        <v>7.08</v>
      </c>
      <c r="H31" s="2" t="s">
        <v>6</v>
      </c>
    </row>
    <row r="32" spans="2:8" x14ac:dyDescent="0.4">
      <c r="B32" s="1" t="s">
        <v>298</v>
      </c>
      <c r="C32" s="26" t="s">
        <v>33</v>
      </c>
      <c r="D32" s="68">
        <f>ROUND((D10+D21)/2,2)</f>
        <v>4.54</v>
      </c>
      <c r="E32" s="2" t="s">
        <v>0</v>
      </c>
      <c r="F32" s="26" t="s">
        <v>34</v>
      </c>
      <c r="G32" s="68">
        <f>ROUND(D32*$C$26,2)</f>
        <v>27.69</v>
      </c>
      <c r="H32" s="2" t="s">
        <v>1</v>
      </c>
    </row>
    <row r="33" spans="2:10" x14ac:dyDescent="0.4">
      <c r="B33" s="1" t="s">
        <v>295</v>
      </c>
      <c r="C33" s="3"/>
      <c r="D33" s="68"/>
      <c r="E33" s="2"/>
      <c r="F33" s="26"/>
      <c r="G33" s="68"/>
      <c r="H33" s="2"/>
    </row>
    <row r="34" spans="2:10" x14ac:dyDescent="0.4">
      <c r="B34" s="1" t="s">
        <v>297</v>
      </c>
      <c r="C34" s="26" t="s">
        <v>34</v>
      </c>
      <c r="D34" s="68">
        <f>ROUND((D12+D23)/2,2)</f>
        <v>0.4</v>
      </c>
      <c r="E34" s="2" t="s">
        <v>1</v>
      </c>
      <c r="F34" s="26" t="s">
        <v>43</v>
      </c>
      <c r="G34" s="68">
        <f>ROUND(D34*$C$26,2)</f>
        <v>2.44</v>
      </c>
      <c r="H34" s="2" t="s">
        <v>6</v>
      </c>
    </row>
    <row r="36" spans="2:10" x14ac:dyDescent="0.4">
      <c r="D36" s="331" t="s">
        <v>294</v>
      </c>
      <c r="E36" s="331"/>
      <c r="F36" s="269" t="s">
        <v>305</v>
      </c>
      <c r="G36" s="269"/>
      <c r="H36" s="269"/>
    </row>
    <row r="37" spans="2:10" x14ac:dyDescent="0.4">
      <c r="D37" s="331" t="s">
        <v>296</v>
      </c>
      <c r="E37" s="331"/>
      <c r="F37" s="26" t="s">
        <v>34</v>
      </c>
      <c r="G37" s="142">
        <f>G8+G19+G28</f>
        <v>168.63000000000002</v>
      </c>
      <c r="H37" s="2" t="s">
        <v>1</v>
      </c>
    </row>
    <row r="38" spans="2:10" x14ac:dyDescent="0.4">
      <c r="D38" s="331" t="s">
        <v>297</v>
      </c>
      <c r="E38" s="331"/>
      <c r="F38" s="26" t="s">
        <v>43</v>
      </c>
      <c r="G38" s="142">
        <f>G9+G20+G31</f>
        <v>27.21</v>
      </c>
      <c r="H38" s="2" t="s">
        <v>6</v>
      </c>
    </row>
    <row r="39" spans="2:10" x14ac:dyDescent="0.4">
      <c r="D39" s="331" t="s">
        <v>298</v>
      </c>
      <c r="E39" s="331"/>
      <c r="F39" s="26" t="s">
        <v>34</v>
      </c>
      <c r="G39" s="142">
        <f>G10+G21+G32</f>
        <v>106.50999999999999</v>
      </c>
      <c r="H39" s="2" t="s">
        <v>1</v>
      </c>
    </row>
    <row r="40" spans="2:10" x14ac:dyDescent="0.4">
      <c r="D40" s="331" t="s">
        <v>295</v>
      </c>
      <c r="E40" s="331"/>
      <c r="F40" s="26"/>
      <c r="G40" s="142"/>
      <c r="H40" s="2"/>
    </row>
    <row r="41" spans="2:10" x14ac:dyDescent="0.4">
      <c r="D41" s="331" t="s">
        <v>297</v>
      </c>
      <c r="E41" s="331"/>
      <c r="F41" s="26" t="s">
        <v>43</v>
      </c>
      <c r="G41" s="142">
        <f>G12+G23+G34</f>
        <v>9.2999999999999989</v>
      </c>
      <c r="H41" s="2" t="s">
        <v>6</v>
      </c>
    </row>
    <row r="46" spans="2:10" x14ac:dyDescent="0.4">
      <c r="J46" s="4"/>
    </row>
  </sheetData>
  <mergeCells count="17">
    <mergeCell ref="B2:H2"/>
    <mergeCell ref="C5:E5"/>
    <mergeCell ref="F5:H5"/>
    <mergeCell ref="C16:E16"/>
    <mergeCell ref="F16:H16"/>
    <mergeCell ref="C27:E27"/>
    <mergeCell ref="F27:H27"/>
    <mergeCell ref="D41:E41"/>
    <mergeCell ref="B28:B30"/>
    <mergeCell ref="B6:B8"/>
    <mergeCell ref="B17:B19"/>
    <mergeCell ref="F36:H36"/>
    <mergeCell ref="D36:E36"/>
    <mergeCell ref="D37:E37"/>
    <mergeCell ref="D38:E38"/>
    <mergeCell ref="D39:E39"/>
    <mergeCell ref="D40:E40"/>
  </mergeCells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数量総括表（土木工事）</vt:lpstr>
      <vt:lpstr>★計画GL+路床</vt:lpstr>
      <vt:lpstr>★作業土工</vt:lpstr>
      <vt:lpstr>★排水構造物調書</vt:lpstr>
      <vt:lpstr>★ｲﾝﾊﾞｰﾄ計算書</vt:lpstr>
      <vt:lpstr>★桝調書</vt:lpstr>
      <vt:lpstr>★ベンチ基礎工</vt:lpstr>
      <vt:lpstr>★階段</vt:lpstr>
      <vt:lpstr>★ベンチ基礎工!Print_Area</vt:lpstr>
      <vt:lpstr>★階段!Print_Area</vt:lpstr>
      <vt:lpstr>'★計画GL+路床'!Print_Area</vt:lpstr>
      <vt:lpstr>★作業土工!Print_Area</vt:lpstr>
      <vt:lpstr>★排水構造物調書!Print_Area</vt:lpstr>
      <vt:lpstr>★桝調書!Print_Area</vt:lpstr>
      <vt:lpstr>'数量総括表（土木工事）'!Print_Area</vt:lpstr>
      <vt:lpstr>'数量総括表（土木工事）'!Print_Titles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kenst16</dc:creator>
  <cp:lastModifiedBy>kenst16</cp:lastModifiedBy>
  <cp:lastPrinted>2023-04-06T01:36:16Z</cp:lastPrinted>
  <dcterms:created xsi:type="dcterms:W3CDTF">2020-04-15T22:47:02Z</dcterms:created>
  <dcterms:modified xsi:type="dcterms:W3CDTF">2023-04-06T11:41:31Z</dcterms:modified>
</cp:coreProperties>
</file>